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Allyson/Desktop/Desktop/Projects/FFPE related/"/>
    </mc:Choice>
  </mc:AlternateContent>
  <xr:revisionPtr revIDLastSave="0" documentId="13_ncr:1_{DBEF9214-C561-9346-91AF-01A8C5BDB171}" xr6:coauthVersionLast="47" xr6:coauthVersionMax="47" xr10:uidLastSave="{00000000-0000-0000-0000-000000000000}"/>
  <bookViews>
    <workbookView xWindow="33780" yWindow="1840" windowWidth="23060" windowHeight="17020" activeTab="1" xr2:uid="{36E89E29-DD57-F642-8CEA-136ACE37DC9E}"/>
  </bookViews>
  <sheets>
    <sheet name="Cover Page" sheetId="9" r:id="rId1"/>
    <sheet name="Arima-QC1" sheetId="2" r:id="rId2"/>
    <sheet name="Arima-QC2" sheetId="8" r:id="rId3"/>
    <sheet name="Shallow Seq QC" sheetId="10" r:id="rId4"/>
    <sheet name="Deep Seq QC" sheetId="12" r:id="rId5"/>
    <sheet name="Metric Definitions" sheetId="14" r:id="rId6"/>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3" i="2" l="1"/>
  <c r="B21" i="12"/>
  <c r="B22" i="12"/>
  <c r="B23" i="12"/>
  <c r="B24" i="12"/>
  <c r="B25" i="12"/>
  <c r="B26" i="12"/>
  <c r="B27" i="12"/>
  <c r="B20" i="12"/>
  <c r="A21" i="12"/>
  <c r="A22" i="12"/>
  <c r="A23" i="12"/>
  <c r="A24" i="12"/>
  <c r="A25" i="12"/>
  <c r="A26" i="12"/>
  <c r="A27" i="12"/>
  <c r="A20" i="12"/>
  <c r="A25" i="10"/>
  <c r="B21" i="10"/>
  <c r="B22" i="10"/>
  <c r="B23" i="10"/>
  <c r="B24" i="10"/>
  <c r="B25" i="10"/>
  <c r="B26" i="10"/>
  <c r="B27" i="10"/>
  <c r="B20" i="10"/>
  <c r="C21" i="10"/>
  <c r="C22" i="10"/>
  <c r="C23" i="10"/>
  <c r="C24" i="10"/>
  <c r="C25" i="10"/>
  <c r="C26" i="10"/>
  <c r="C27" i="10"/>
  <c r="C20" i="10"/>
  <c r="A20" i="10"/>
  <c r="C41" i="8"/>
  <c r="C42" i="8" l="1"/>
  <c r="C43" i="8"/>
  <c r="C44" i="8"/>
  <c r="C45" i="8"/>
  <c r="C46" i="8"/>
  <c r="C47" i="8"/>
  <c r="C48" i="8"/>
  <c r="E36" i="2"/>
  <c r="E30" i="2"/>
  <c r="F30" i="2" s="1"/>
  <c r="G30" i="2" s="1"/>
  <c r="A21" i="10" l="1"/>
  <c r="A22" i="10"/>
  <c r="A23" i="10"/>
  <c r="A24" i="10"/>
  <c r="A26" i="10"/>
  <c r="A27" i="10"/>
  <c r="A36" i="2" l="1"/>
  <c r="A31" i="2"/>
  <c r="A32" i="2"/>
  <c r="A33" i="2"/>
  <c r="A34" i="2"/>
  <c r="A35" i="2"/>
  <c r="A37" i="2"/>
  <c r="A30" i="2"/>
  <c r="E17" i="2"/>
  <c r="E18" i="2"/>
  <c r="E19" i="2"/>
  <c r="E20" i="2"/>
  <c r="E21" i="2"/>
  <c r="E22" i="2"/>
  <c r="E23" i="2"/>
  <c r="E16" i="2"/>
  <c r="I16" i="2" l="1"/>
  <c r="F16" i="2"/>
  <c r="F22" i="2"/>
  <c r="I22" i="2"/>
  <c r="F18" i="2"/>
  <c r="I18" i="2"/>
  <c r="F20" i="2"/>
  <c r="I20" i="2"/>
  <c r="F21" i="2"/>
  <c r="I21" i="2"/>
  <c r="F17" i="2"/>
  <c r="I17" i="2"/>
  <c r="F23" i="2"/>
  <c r="I23" i="2"/>
  <c r="F19" i="2"/>
  <c r="I19" i="2"/>
  <c r="E31" i="2"/>
  <c r="E32" i="2"/>
  <c r="E33" i="2"/>
  <c r="G33" i="2" s="1"/>
  <c r="E34" i="2"/>
  <c r="F34" i="2" s="1"/>
  <c r="G34" i="2" s="1"/>
  <c r="E35" i="2"/>
  <c r="E37" i="2"/>
  <c r="I42" i="8"/>
  <c r="I43" i="8"/>
  <c r="I44" i="8"/>
  <c r="I45" i="8"/>
  <c r="I46" i="8"/>
  <c r="I47" i="8"/>
  <c r="I48" i="8"/>
  <c r="H42" i="8"/>
  <c r="H43" i="8"/>
  <c r="H44" i="8"/>
  <c r="H45" i="8"/>
  <c r="H46" i="8"/>
  <c r="H47" i="8"/>
  <c r="H48" i="8"/>
  <c r="H41" i="8"/>
  <c r="H22" i="8"/>
  <c r="H23" i="8"/>
  <c r="H24" i="8"/>
  <c r="H25" i="8"/>
  <c r="H26" i="8"/>
  <c r="H27" i="8"/>
  <c r="H21" i="8"/>
  <c r="F22" i="8"/>
  <c r="F23" i="8"/>
  <c r="F24" i="8"/>
  <c r="F25" i="8"/>
  <c r="F26" i="8"/>
  <c r="F27" i="8"/>
  <c r="E22" i="8"/>
  <c r="E23" i="8"/>
  <c r="E24" i="8"/>
  <c r="E25" i="8"/>
  <c r="E26" i="8"/>
  <c r="E27" i="8"/>
  <c r="F31" i="2"/>
  <c r="G31" i="2" s="1"/>
  <c r="F32" i="2"/>
  <c r="G32" i="2" s="1"/>
  <c r="F35" i="2"/>
  <c r="G35" i="2" s="1"/>
  <c r="F36" i="2"/>
  <c r="G36" i="2" s="1"/>
  <c r="F37" i="2"/>
  <c r="G37" i="2" s="1"/>
  <c r="E21" i="8"/>
  <c r="M42" i="8"/>
  <c r="M43" i="8"/>
  <c r="M44" i="8"/>
  <c r="M45" i="8"/>
  <c r="M46" i="8"/>
  <c r="M47" i="8"/>
  <c r="M48" i="8"/>
  <c r="M41" i="8"/>
  <c r="I41" i="8"/>
  <c r="F21" i="8"/>
  <c r="I23" i="8" l="1"/>
  <c r="I22" i="8"/>
  <c r="I26" i="8"/>
  <c r="I24" i="8"/>
  <c r="B29" i="8"/>
  <c r="B30" i="8"/>
  <c r="I25" i="8"/>
  <c r="J46" i="8" l="1"/>
  <c r="L46" i="8" s="1"/>
  <c r="N46" i="8" s="1"/>
  <c r="O46" i="8" s="1"/>
  <c r="U46" i="8" s="1"/>
  <c r="B46" i="8" s="1"/>
  <c r="J47" i="8"/>
  <c r="L47" i="8" s="1"/>
  <c r="N47" i="8" s="1"/>
  <c r="O47" i="8" s="1"/>
  <c r="Q47" i="8" s="1"/>
  <c r="R47" i="8" s="1"/>
  <c r="S47" i="8" s="1"/>
  <c r="J48" i="8"/>
  <c r="L48" i="8" s="1"/>
  <c r="N48" i="8" s="1"/>
  <c r="O48" i="8" s="1"/>
  <c r="Q48" i="8" s="1"/>
  <c r="R48" i="8" s="1"/>
  <c r="S48" i="8" s="1"/>
  <c r="J41" i="8"/>
  <c r="L41" i="8" s="1"/>
  <c r="N41" i="8" s="1"/>
  <c r="O41" i="8" s="1"/>
  <c r="Q41" i="8" s="1"/>
  <c r="R41" i="8" s="1"/>
  <c r="S41" i="8" s="1"/>
  <c r="J45" i="8"/>
  <c r="L45" i="8" s="1"/>
  <c r="N45" i="8" s="1"/>
  <c r="O45" i="8" s="1"/>
  <c r="J44" i="8"/>
  <c r="L44" i="8" s="1"/>
  <c r="N44" i="8" s="1"/>
  <c r="O44" i="8" s="1"/>
  <c r="Q44" i="8" s="1"/>
  <c r="R44" i="8" s="1"/>
  <c r="S44" i="8" s="1"/>
  <c r="J43" i="8"/>
  <c r="L43" i="8" s="1"/>
  <c r="N43" i="8" s="1"/>
  <c r="O43" i="8" s="1"/>
  <c r="U43" i="8" s="1"/>
  <c r="B43" i="8" s="1"/>
  <c r="J42" i="8"/>
  <c r="L42" i="8" s="1"/>
  <c r="N42" i="8" s="1"/>
  <c r="O42" i="8" s="1"/>
  <c r="U47" i="8" l="1"/>
  <c r="B47" i="8" s="1"/>
  <c r="Q46" i="8"/>
  <c r="R46" i="8" s="1"/>
  <c r="S46" i="8" s="1"/>
  <c r="U44" i="8"/>
  <c r="B44" i="8" s="1"/>
  <c r="U41" i="8"/>
  <c r="B41" i="8" s="1"/>
  <c r="Q42" i="8"/>
  <c r="R42" i="8" s="1"/>
  <c r="S42" i="8" s="1"/>
  <c r="U42" i="8"/>
  <c r="B42" i="8" s="1"/>
  <c r="U48" i="8"/>
  <c r="B48" i="8" s="1"/>
  <c r="Q43" i="8"/>
  <c r="R43" i="8" s="1"/>
  <c r="S43" i="8" s="1"/>
  <c r="U45" i="8"/>
  <c r="B45" i="8" s="1"/>
  <c r="Q45" i="8"/>
  <c r="R45" i="8" s="1"/>
  <c r="S45" i="8" s="1"/>
</calcChain>
</file>

<file path=xl/sharedStrings.xml><?xml version="1.0" encoding="utf-8"?>
<sst xmlns="http://schemas.openxmlformats.org/spreadsheetml/2006/main" count="273" uniqueCount="169">
  <si>
    <t>Units</t>
  </si>
  <si>
    <t>Sample</t>
  </si>
  <si>
    <t>Quant Assay</t>
  </si>
  <si>
    <t>Qubit Concentration</t>
  </si>
  <si>
    <t>ng/µL</t>
  </si>
  <si>
    <t>dsDNA HS</t>
  </si>
  <si>
    <t>uL</t>
  </si>
  <si>
    <t>Conc pM</t>
  </si>
  <si>
    <t>Log Conc</t>
  </si>
  <si>
    <t>Slope</t>
  </si>
  <si>
    <t>Y-intercept</t>
  </si>
  <si>
    <t>PCR Efficiency</t>
  </si>
  <si>
    <t>*100%</t>
  </si>
  <si>
    <t>Dilution</t>
  </si>
  <si>
    <t>log conc</t>
  </si>
  <si>
    <t>Avg bp</t>
  </si>
  <si>
    <t>Conc nM</t>
  </si>
  <si>
    <t>MW</t>
  </si>
  <si>
    <t>ng/uL</t>
  </si>
  <si>
    <t>ng in PCR</t>
  </si>
  <si>
    <t>PCR cycles</t>
  </si>
  <si>
    <t>ng Post PCR</t>
  </si>
  <si>
    <t>ng/uL post PCR</t>
  </si>
  <si>
    <t>nM post PCR</t>
  </si>
  <si>
    <t>PASS/FAIL</t>
  </si>
  <si>
    <t>Arima-QC1</t>
  </si>
  <si>
    <t>Arima-HiC Samples</t>
  </si>
  <si>
    <t>Sample A</t>
  </si>
  <si>
    <t>Sample B</t>
  </si>
  <si>
    <t>Sample C</t>
  </si>
  <si>
    <t>Sample D</t>
  </si>
  <si>
    <t>Sample E</t>
  </si>
  <si>
    <t>Sample F</t>
  </si>
  <si>
    <t>Sample G</t>
  </si>
  <si>
    <t>Sample H</t>
  </si>
  <si>
    <t>Arima-QC2</t>
  </si>
  <si>
    <t>Yield (ng)</t>
  </si>
  <si>
    <t>Cq 1</t>
  </si>
  <si>
    <t>Cq 2</t>
  </si>
  <si>
    <t>Cq 3</t>
  </si>
  <si>
    <t>Avg Cq</t>
  </si>
  <si>
    <t>Stdev Cq</t>
  </si>
  <si>
    <t>ΔCq</t>
  </si>
  <si>
    <t>Bead-bound library used in PCR reaction</t>
  </si>
  <si>
    <t xml:space="preserve">4. Fill in the 'Sample' column in the "Arima-HiC Samples" section. </t>
  </si>
  <si>
    <t>Input to Arima-QC Quality Control protocol (ng)</t>
  </si>
  <si>
    <t>Standard 1</t>
  </si>
  <si>
    <t>Standard 2</t>
  </si>
  <si>
    <t>Standard 3</t>
  </si>
  <si>
    <t>Standard 4</t>
  </si>
  <si>
    <t>Standard 5</t>
  </si>
  <si>
    <t>Standard 6</t>
  </si>
  <si>
    <t>Control (Water)</t>
  </si>
  <si>
    <t>Instructions:</t>
  </si>
  <si>
    <t>n/a</t>
  </si>
  <si>
    <t>-</t>
  </si>
  <si>
    <t>Arima-QC1 Calculation Worksheet</t>
  </si>
  <si>
    <t>Arima-QC2 Calculation Worksheet</t>
  </si>
  <si>
    <t>Arima-HiC QC Worksheet</t>
  </si>
  <si>
    <t>Standards and Control</t>
  </si>
  <si>
    <t>1. Fill in the Cq values for the standards and control (water) sample in the "Standards and Control" section.</t>
  </si>
  <si>
    <t>2. Check that the ΔCq value (Column I) between DNA Standards is in the range of 3.1 – 3.6,  the control (water) has Cq&gt;30, and the standard curve R2 value is ≥0.99.</t>
  </si>
  <si>
    <r>
      <t xml:space="preserve">7. Fill in the 'DNA Input to Biotin Enrichment' column in the "Arima-HiC Samples" section. This is how much DNA was input to </t>
    </r>
    <r>
      <rPr>
        <i/>
        <sz val="12"/>
        <color theme="1"/>
        <rFont val="Calibri"/>
        <family val="2"/>
        <scheme val="minor"/>
      </rPr>
      <t>Biotin Enrichment</t>
    </r>
    <r>
      <rPr>
        <sz val="12"/>
        <color theme="1"/>
        <rFont val="Calibri"/>
        <family val="2"/>
        <scheme val="minor"/>
      </rPr>
      <t xml:space="preserve"> protocol during Arima-HiC Library Preparation. Completing this will automatically calculate the Arima-QC2 value and PASS/FAIL status.</t>
    </r>
  </si>
  <si>
    <t>5. Fill in the Cq values for the bead-bound Arima-HiC libraries in the "Arima-HiC Samples" section.</t>
  </si>
  <si>
    <t>Post PCR Elution Volume</t>
  </si>
  <si>
    <t>DNA Purification Bead Sample Loss</t>
  </si>
  <si>
    <r>
      <t xml:space="preserve">The </t>
    </r>
    <r>
      <rPr>
        <sz val="12"/>
        <color theme="1"/>
        <rFont val="Calibri (Body)_x0000_"/>
      </rPr>
      <t>instructions</t>
    </r>
    <r>
      <rPr>
        <sz val="12"/>
        <color theme="1"/>
        <rFont val="Calibri"/>
        <family val="2"/>
        <scheme val="minor"/>
      </rPr>
      <t xml:space="preserve"> below provide a step-by-step guide to determining the Arima-QC1 value and PASS/FAIL status of a sample midway through the Arima-HiC workflow.</t>
    </r>
  </si>
  <si>
    <r>
      <rPr>
        <b/>
        <sz val="12"/>
        <color theme="1"/>
        <rFont val="Calibri (Body)_x0000_"/>
      </rPr>
      <t>Important</t>
    </r>
    <r>
      <rPr>
        <b/>
        <sz val="12"/>
        <color theme="1"/>
        <rFont val="Calibri"/>
        <family val="2"/>
        <scheme val="minor"/>
      </rPr>
      <t>: All values in italics with a gray background in the below worksheet are values that need to be filled in by the user. Example values are currently filled in to provide guidance.</t>
    </r>
  </si>
  <si>
    <r>
      <rPr>
        <b/>
        <sz val="12"/>
        <color theme="1"/>
        <rFont val="Calibri (Body)_x0000_"/>
      </rPr>
      <t>Important</t>
    </r>
    <r>
      <rPr>
        <b/>
        <sz val="12"/>
        <color theme="1"/>
        <rFont val="Calibri"/>
        <family val="2"/>
        <scheme val="minor"/>
      </rPr>
      <t>: All values in italics with a gray background are values that need to be filled in by the user. Example values are currently filled in to provide guidance.</t>
    </r>
  </si>
  <si>
    <t>Total DNA Input into Biotin Enrichment (ng)</t>
  </si>
  <si>
    <t>Arima-QC1 Table</t>
  </si>
  <si>
    <t>Ligation Product Yield</t>
  </si>
  <si>
    <t>Perform QC1
Yes/No</t>
  </si>
  <si>
    <t>*30 Sec on, 90 Sec off</t>
  </si>
  <si>
    <t>Version #</t>
  </si>
  <si>
    <t>v01</t>
  </si>
  <si>
    <t>3. The "Overall Performance Indicators" will automatically calculate using information from the copy/pasted Arima_QC_shallow.txt table.</t>
  </si>
  <si>
    <t>Overall Performance Indicators</t>
  </si>
  <si>
    <t>Basic Data Processing Stats</t>
  </si>
  <si>
    <t>HiC Data Features</t>
  </si>
  <si>
    <t>HiC QC</t>
  </si>
  <si>
    <t>Sample Name</t>
  </si>
  <si>
    <t>Raw PE Reads</t>
  </si>
  <si>
    <t>Mapped SE reads</t>
  </si>
  <si>
    <t>% Mapped SE Reads</t>
  </si>
  <si>
    <t>Duplicates</t>
  </si>
  <si>
    <t>% Duplicates</t>
  </si>
  <si>
    <t>Unique valid pairs</t>
  </si>
  <si>
    <t>% Unique valid pairs</t>
  </si>
  <si>
    <t>INTRA pairs</t>
  </si>
  <si>
    <t>% INTRA pairs</t>
  </si>
  <si>
    <t>3. The "Overall Performance Indicators" will automatically calculate using information from the copy/pasted Arima_QC_deep.txt table.</t>
  </si>
  <si>
    <t>Arima HiC Data QC Worksheet For Structural Variants</t>
  </si>
  <si>
    <r>
      <t xml:space="preserve">2. Copy/Paste the output table of shallow sequencing metrics (Arima_QC_shallow.txt) produced by the pipeline (excluding column headers) into the table below. </t>
    </r>
    <r>
      <rPr>
        <sz val="12"/>
        <color theme="1"/>
        <rFont val="Calibri (Body)"/>
      </rPr>
      <t xml:space="preserve">The values should be pasted into the table beginning with the column labeled "Sample Name". </t>
    </r>
  </si>
  <si>
    <t>SV QC</t>
  </si>
  <si>
    <t xml:space="preserve">SV Features </t>
  </si>
  <si>
    <t>Lcis / Trans</t>
  </si>
  <si>
    <t>INTRA &gt; 15kb pairs (Lcis)</t>
  </si>
  <si>
    <t>% INTRA &gt; 15kb pairs (Lcis)</t>
  </si>
  <si>
    <t>INTER pairs (Trans)</t>
  </si>
  <si>
    <t>% INTER pairs (Trans)</t>
  </si>
  <si>
    <t>Library Complexity</t>
  </si>
  <si>
    <t>Target Raw Reads for Deep Seq</t>
  </si>
  <si>
    <t>Complexity</t>
  </si>
  <si>
    <r>
      <t xml:space="preserve">2. Copy/Paste the output table of shallow Deep Sequencing metrics (Arima_QC_deep.txt) produced by the pipeline (excluding column headers) into the table below. </t>
    </r>
    <r>
      <rPr>
        <sz val="12"/>
        <color theme="1"/>
        <rFont val="Calibri (Body)"/>
      </rPr>
      <t xml:space="preserve">The values should be pasted into the table beginning with the column labeled "Sample Name". </t>
    </r>
  </si>
  <si>
    <t>Number of SV Calls</t>
  </si>
  <si>
    <t xml:space="preserve">1. Fill in the 'Sample' column in the "Ligation Product Yield" table Below (Rows 16-23). </t>
  </si>
  <si>
    <r>
      <t xml:space="preserve">This worksheet is intended to help organize and  interpret Arima-HIC data quality metrics that are produced by running the Arima Structural Variants pipeline on </t>
    </r>
    <r>
      <rPr>
        <u/>
        <sz val="12"/>
        <color theme="1"/>
        <rFont val="Calibri (Body)"/>
      </rPr>
      <t xml:space="preserve">Shallowly sequenced </t>
    </r>
    <r>
      <rPr>
        <sz val="12"/>
        <color theme="1"/>
        <rFont val="Calibri"/>
        <family val="2"/>
        <scheme val="minor"/>
      </rPr>
      <t xml:space="preserve">Arima-HIC libraries. </t>
    </r>
  </si>
  <si>
    <r>
      <t xml:space="preserve">This worksheet is intended to help organize and  interpret Arima-HIC data quality metrics that are produced by running the Arima Structural Variants pipeline on </t>
    </r>
    <r>
      <rPr>
        <u/>
        <sz val="12"/>
        <color theme="1"/>
        <rFont val="Calibri (Body)"/>
      </rPr>
      <t xml:space="preserve">Deeply sequenced </t>
    </r>
    <r>
      <rPr>
        <sz val="12"/>
        <color theme="1"/>
        <rFont val="Calibri"/>
        <family val="2"/>
        <scheme val="minor"/>
      </rPr>
      <t xml:space="preserve">Arima-HIC libraries. </t>
    </r>
  </si>
  <si>
    <t>QC2 PASS/ALERT</t>
  </si>
  <si>
    <t>Metric</t>
  </si>
  <si>
    <t>Definition</t>
  </si>
  <si>
    <t>raw paired-end (PE) sequence reads</t>
  </si>
  <si>
    <t>Target Specification</t>
  </si>
  <si>
    <t>Mapped SE Reads</t>
  </si>
  <si>
    <t>Single-End reads aligned to the genome, where both reads have a mapping quality &gt;= 30</t>
  </si>
  <si>
    <t>percentage of all raw Single-End reads that align to the genome relative to the total raw single-end read count</t>
  </si>
  <si>
    <t>duplicate read-pairs aligned to the genome</t>
  </si>
  <si>
    <t>HiC Readpairs which are not derived from artifacts such as self-circles and dangling-ends, and which contain spatial proximity information</t>
  </si>
  <si>
    <t>% of mapped reads that are unique valid pairs</t>
  </si>
  <si>
    <t>PCR cycles PASS/FAIL</t>
  </si>
  <si>
    <t>Unique Valid Pairs</t>
  </si>
  <si>
    <t>% Unique Valid Pairs</t>
  </si>
  <si>
    <t>100-200M Paired Reads</t>
  </si>
  <si>
    <t>Library Specific</t>
  </si>
  <si>
    <t>≥1</t>
  </si>
  <si>
    <t>percentage of all Unique Valid Pairs where each read-end aligns to a different chromosome</t>
  </si>
  <si>
    <t>Unique Valid Pairs where each read-end aligns to a different chromosome</t>
  </si>
  <si>
    <t>percentage of all Unique Valid Pairs that have both read-ends aligning to the same chromosome and have an insert size &gt;=15kb</t>
  </si>
  <si>
    <t>Unique Valid Pairs where both read-ends align to the same chromosome and have an insert size &gt;=15kb</t>
  </si>
  <si>
    <t>percentage of all Unique Valid Pairs that have both read-ends aligning to the same chromosome</t>
  </si>
  <si>
    <t>Unique Valid Pairs where both read-ends align to the same chromosome</t>
  </si>
  <si>
    <t>Theoretical number of unique molecules in a Hi-C library.</t>
  </si>
  <si>
    <t xml:space="preserve">100's M - 1's B of read pairs </t>
  </si>
  <si>
    <t>≤20%</t>
  </si>
  <si>
    <t>≥25%</t>
  </si>
  <si>
    <t>≥80%</t>
  </si>
  <si>
    <t>percentage of all Mapped Paired-end Reads that are PCR duplicates</t>
  </si>
  <si>
    <t>0.5-2M Shallow seq, 100-200M Deep seq</t>
  </si>
  <si>
    <t>N/A</t>
  </si>
  <si>
    <r>
      <t xml:space="preserve">Material Part Number: </t>
    </r>
    <r>
      <rPr>
        <sz val="11"/>
        <color rgb="FF000000"/>
        <rFont val="Avenir Book"/>
        <family val="2"/>
      </rPr>
      <t>A510008</t>
    </r>
    <r>
      <rPr>
        <b/>
        <sz val="11"/>
        <color rgb="FF000000"/>
        <rFont val="Avenir Book"/>
        <family val="2"/>
      </rPr>
      <t xml:space="preserve">, </t>
    </r>
    <r>
      <rPr>
        <sz val="11"/>
        <color rgb="FF000000"/>
        <rFont val="Avenir Book"/>
        <family val="2"/>
      </rPr>
      <t>A101060</t>
    </r>
  </si>
  <si>
    <t>TRADEMARKS</t>
  </si>
  <si>
    <t>Diagenode™ and Bioruptor™ are trademarks of Diagenode SA CORPORATION</t>
  </si>
  <si>
    <t>Diagenode™ Bioruptor™ Pico Shearing Recommendations</t>
  </si>
  <si>
    <t>QC1 Yield (ng)</t>
  </si>
  <si>
    <r>
      <t xml:space="preserve">3. Fill in how many µL of bead-bound library </t>
    </r>
    <r>
      <rPr>
        <i/>
        <sz val="12"/>
        <color theme="1"/>
        <rFont val="Calibri"/>
        <family val="2"/>
        <scheme val="minor"/>
      </rPr>
      <t xml:space="preserve">will be used </t>
    </r>
    <r>
      <rPr>
        <sz val="12"/>
        <color theme="1"/>
        <rFont val="Calibri"/>
        <family val="2"/>
        <scheme val="minor"/>
      </rPr>
      <t xml:space="preserve">in your PCR reaction. Refer to the </t>
    </r>
    <r>
      <rPr>
        <i/>
        <sz val="12"/>
        <color theme="1"/>
        <rFont val="Calibri"/>
        <family val="2"/>
        <scheme val="minor"/>
      </rPr>
      <t>Library Amplification</t>
    </r>
    <r>
      <rPr>
        <sz val="12"/>
        <color theme="1"/>
        <rFont val="Calibri"/>
        <family val="2"/>
        <scheme val="minor"/>
      </rPr>
      <t xml:space="preserve"> protocol in your Arima-HiC Library Prep user guide to obtain this value.</t>
    </r>
  </si>
  <si>
    <t>6. Manually adjust the values in the 'PCR Cycles' column of the "Arima-HiC Samples" section in order to determine the minimum number of PCR cycles required to obtain at least a 5nM library in the 'nM post PCR' column. This is how many cycles should be used to amplify your bead-bound Arima-HiC library.</t>
  </si>
  <si>
    <t>Pipeline FTP</t>
  </si>
  <si>
    <t>Pipeline GitHub</t>
  </si>
  <si>
    <t>https://github.com/ArimaGenomics/Arima-SV-Pipeline</t>
  </si>
  <si>
    <t>ftp://ftp-arimagenomics.sdsc.edu/pub/singularity/Arima-SV-Pipeline-singularity-v1.sif</t>
  </si>
  <si>
    <r>
      <t xml:space="preserve">1. Run the Arima Structural Variant pipeline with Arima-HiC data. Please note the  version number above. Refer to </t>
    </r>
    <r>
      <rPr>
        <b/>
        <sz val="12"/>
        <color theme="1"/>
        <rFont val="Calibri"/>
        <family val="2"/>
        <scheme val="minor"/>
      </rPr>
      <t>Bioinformatics User Guide for Structural Variant Pipeline (Doc#: A160602).</t>
    </r>
  </si>
  <si>
    <r>
      <t xml:space="preserve">1. Run the Arima Structural Variant pipeline with Arima Hi-C data. Please note the  version number above.  </t>
    </r>
    <r>
      <rPr>
        <b/>
        <sz val="12"/>
        <color theme="1"/>
        <rFont val="Calibri"/>
        <family val="2"/>
        <scheme val="minor"/>
      </rPr>
      <t>Refer to Bioinformatics User Guide for Structural Variant Pipeline (Doc#: A160602).</t>
    </r>
  </si>
  <si>
    <t>Number of Raw PE Reads to obtain high sensitivity SV calls  Based on bench marking against ground truth datasets. This value is calibrated to balance Sensitivity and Specificity of the SV calls from hic_breakfinder. This value uses conservative values for the mapping rate at 80% and the duplicate rate at 30%.</t>
  </si>
  <si>
    <t>The ratio of Lcis to Trans data.  This is the signal to noise ratio for Translocation calling.</t>
  </si>
  <si>
    <t>The number of SV calls made by the Arima-SV Pipeline.</t>
  </si>
  <si>
    <t>≤2% for shallow Seq, ≤30% for deep seq</t>
  </si>
  <si>
    <r>
      <t xml:space="preserve">The instructions below provide a step-by-step guide to determining the Arima-QC2 value and PASS/FAIL status of an Arima Hi-C library, as well as determining the optimal number of PCR cycles for Library Amplification. Refer to: </t>
    </r>
    <r>
      <rPr>
        <b/>
        <sz val="12"/>
        <color theme="1"/>
        <rFont val="Calibri"/>
        <family val="2"/>
        <scheme val="minor"/>
      </rPr>
      <t>User Guide Library Preparation using Swift Biosciences Accel-NGS 2S Plus DNA Library Kit (Doc#: A160140).</t>
    </r>
  </si>
  <si>
    <r>
      <t xml:space="preserve">Document Part Number: </t>
    </r>
    <r>
      <rPr>
        <sz val="11"/>
        <color theme="1"/>
        <rFont val="Avenir Book"/>
        <family val="2"/>
      </rPr>
      <t>A160431 v02</t>
    </r>
  </si>
  <si>
    <r>
      <t>Release Date: July</t>
    </r>
    <r>
      <rPr>
        <sz val="11"/>
        <color theme="1"/>
        <rFont val="Avenir Book"/>
        <family val="2"/>
      </rPr>
      <t xml:space="preserve"> 2022</t>
    </r>
  </si>
  <si>
    <r>
      <t xml:space="preserve">2. Fill in the 'Qubit Concentration' column in the "Ligation Product Yield" table (Rows 16-23). This is from Step 5.23 in the </t>
    </r>
    <r>
      <rPr>
        <b/>
        <sz val="12"/>
        <color theme="1"/>
        <rFont val="Calibri"/>
        <family val="2"/>
        <scheme val="minor"/>
      </rPr>
      <t>User Guide for Formalin Fixed Paraffin Embedded (FFPE) Tissues (Doc#. A160172)</t>
    </r>
    <r>
      <rPr>
        <sz val="12"/>
        <color theme="1"/>
        <rFont val="Calibri"/>
        <family val="2"/>
        <scheme val="minor"/>
      </rPr>
      <t xml:space="preserve">. Ensure that you record the sample concentration in ng/uL. Completing this will automatically calculate the Ligation Product yield, will recommend whether to perform QC1  based on this yield, and will recommend the number of Diagenode™ Bioruptor™ Pico shearing cycles to use based on the amount of yield for use in the </t>
    </r>
    <r>
      <rPr>
        <b/>
        <sz val="12"/>
        <color theme="1"/>
        <rFont val="Calibri"/>
        <family val="2"/>
        <scheme val="minor"/>
      </rPr>
      <t>User Guide Library Preparation using Swift Biosciences Accel-NGS 2S Plus DNA Library Kit (Doc#: A160140).</t>
    </r>
  </si>
  <si>
    <r>
      <t xml:space="preserve">3. Fill in the 'Qubit Concentration' column in the "Arima-QC1 Table" below (Rows 30-37). This is from Step 6.15 in the </t>
    </r>
    <r>
      <rPr>
        <b/>
        <sz val="12"/>
        <color theme="1"/>
        <rFont val="Calibri"/>
        <family val="2"/>
        <scheme val="minor"/>
      </rPr>
      <t>User Guide for Formalin Fixed Paraffin Embedded (FFPE) Tissues (Doc#. A160172).</t>
    </r>
    <r>
      <rPr>
        <sz val="12"/>
        <color theme="1"/>
        <rFont val="Calibri"/>
        <family val="2"/>
        <scheme val="minor"/>
      </rPr>
      <t xml:space="preserve">  Ensure that you record the sample concentration in ng/uL. Completing this will automatically calculate the QC1 Yield, Arima-QC1 value (% of DNA Captured by the QC beads), and PASS/FAIL status.</t>
    </r>
  </si>
  <si>
    <t>Revision History</t>
  </si>
  <si>
    <t>Document</t>
  </si>
  <si>
    <t>Date</t>
  </si>
  <si>
    <t>Description</t>
  </si>
  <si>
    <t>Updated the Arima-QC1 Calculation Worksheet</t>
  </si>
  <si>
    <t>July, 2022</t>
  </si>
  <si>
    <t>Material Part Number: A510008, A101060
Document Part Number: A160431 v02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</si>
</sst>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
    <numFmt numFmtId="166" formatCode="0.0"/>
  </numFmts>
  <fonts count="33">
    <font>
      <sz val="12"/>
      <color theme="1"/>
      <name val="Calibri"/>
      <family val="2"/>
      <scheme val="minor"/>
    </font>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i/>
      <sz val="12"/>
      <color theme="1"/>
      <name val="Calibri"/>
      <family val="2"/>
      <scheme val="minor"/>
    </font>
    <font>
      <sz val="12"/>
      <color rgb="FFFF0000"/>
      <name val="Calibri (Body)"/>
    </font>
    <font>
      <i/>
      <sz val="12"/>
      <name val="Calibri"/>
      <family val="2"/>
      <scheme val="minor"/>
    </font>
    <font>
      <b/>
      <sz val="12"/>
      <color theme="0"/>
      <name val="Calibri"/>
      <family val="2"/>
      <scheme val="minor"/>
    </font>
    <font>
      <sz val="12"/>
      <color theme="0"/>
      <name val="Calibri"/>
      <family val="2"/>
      <scheme val="minor"/>
    </font>
    <font>
      <b/>
      <sz val="14"/>
      <color theme="1"/>
      <name val="Calibri"/>
      <family val="2"/>
      <scheme val="minor"/>
    </font>
    <font>
      <b/>
      <u/>
      <sz val="12"/>
      <color theme="1"/>
      <name val="Calibri"/>
      <family val="2"/>
      <scheme val="minor"/>
    </font>
    <font>
      <sz val="8"/>
      <name val="Calibri"/>
      <family val="2"/>
      <scheme val="minor"/>
    </font>
    <font>
      <b/>
      <sz val="11"/>
      <color rgb="FF000000"/>
      <name val="Avenir Book"/>
      <family val="2"/>
    </font>
    <font>
      <sz val="11"/>
      <color rgb="FF000000"/>
      <name val="Avenir Book"/>
      <family val="2"/>
    </font>
    <font>
      <b/>
      <u/>
      <sz val="16"/>
      <color theme="1"/>
      <name val="Calibri"/>
      <family val="2"/>
      <scheme val="minor"/>
    </font>
    <font>
      <sz val="12"/>
      <color theme="1"/>
      <name val="Calibri (Body)_x0000_"/>
    </font>
    <font>
      <b/>
      <sz val="12"/>
      <color theme="1"/>
      <name val="Calibri (Body)_x0000_"/>
    </font>
    <font>
      <sz val="16"/>
      <color theme="1"/>
      <name val="Calibri"/>
      <family val="2"/>
      <scheme val="minor"/>
    </font>
    <font>
      <sz val="12"/>
      <color theme="1"/>
      <name val="Calibri (Body)"/>
    </font>
    <font>
      <b/>
      <sz val="16"/>
      <color theme="1"/>
      <name val="Calibri"/>
      <family val="2"/>
      <scheme val="minor"/>
    </font>
    <font>
      <b/>
      <sz val="16"/>
      <color theme="0"/>
      <name val="Calibri"/>
      <family val="2"/>
      <scheme val="minor"/>
    </font>
    <font>
      <u/>
      <sz val="12"/>
      <color theme="1"/>
      <name val="Calibri (Body)"/>
    </font>
    <font>
      <b/>
      <sz val="12"/>
      <color theme="8" tint="-0.249977111117893"/>
      <name val="Calibri"/>
      <family val="2"/>
      <scheme val="minor"/>
    </font>
    <font>
      <b/>
      <sz val="12"/>
      <color rgb="FF7030A0"/>
      <name val="Calibri"/>
      <family val="2"/>
      <scheme val="minor"/>
    </font>
    <font>
      <i/>
      <sz val="12"/>
      <color rgb="FF000000"/>
      <name val="Calibri"/>
      <family val="2"/>
      <scheme val="minor"/>
    </font>
    <font>
      <b/>
      <sz val="11"/>
      <color theme="1"/>
      <name val="Avenir Book"/>
      <family val="2"/>
    </font>
    <font>
      <sz val="11"/>
      <color theme="1"/>
      <name val="Avenir Book"/>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A6CB7"/>
        <bgColor indexed="64"/>
      </patternFill>
    </fill>
    <fill>
      <patternFill patternType="solid">
        <fgColor rgb="FFD9D9D9"/>
        <bgColor indexed="64"/>
      </patternFill>
    </fill>
    <fill>
      <patternFill patternType="solid">
        <fgColor theme="9" tint="0.79998168889431442"/>
        <bgColor indexed="64"/>
      </patternFill>
    </fill>
    <fill>
      <patternFill patternType="solid">
        <fgColor rgb="FF7030A0"/>
        <bgColor indexed="64"/>
      </patternFill>
    </fill>
    <fill>
      <patternFill patternType="solid">
        <fgColor rgb="FFD9D9D9"/>
        <bgColor rgb="FF000000"/>
      </patternFill>
    </fill>
    <fill>
      <patternFill patternType="solid">
        <fgColor theme="8" tint="0.59999389629810485"/>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
      <left style="thin">
        <color auto="1"/>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thin">
        <color auto="1"/>
      </right>
      <top/>
      <bottom style="thin">
        <color auto="1"/>
      </bottom>
      <diagonal/>
    </border>
    <border>
      <left/>
      <right style="medium">
        <color indexed="64"/>
      </right>
      <top/>
      <bottom style="thin">
        <color auto="1"/>
      </bottom>
      <diagonal/>
    </border>
    <border>
      <left/>
      <right style="thin">
        <color auto="1"/>
      </right>
      <top/>
      <bottom style="thin">
        <color auto="1"/>
      </bottom>
      <diagonal/>
    </border>
    <border>
      <left/>
      <right style="thin">
        <color auto="1"/>
      </right>
      <top style="thin">
        <color auto="1"/>
      </top>
      <bottom style="medium">
        <color indexed="64"/>
      </bottom>
      <diagonal/>
    </border>
    <border>
      <left style="thin">
        <color auto="1"/>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bottom style="medium">
        <color indexed="64"/>
      </bottom>
      <diagonal/>
    </border>
  </borders>
  <cellStyleXfs count="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cellStyleXfs>
  <cellXfs count="166">
    <xf numFmtId="0" fontId="0" fillId="0" borderId="0" xfId="0"/>
    <xf numFmtId="0" fontId="0" fillId="0" borderId="0" xfId="0" applyBorder="1"/>
    <xf numFmtId="0" fontId="0" fillId="0" borderId="1" xfId="0" applyBorder="1"/>
    <xf numFmtId="0" fontId="7" fillId="0" borderId="0" xfId="0" applyFont="1"/>
    <xf numFmtId="0" fontId="8" fillId="0" borderId="0" xfId="0" applyFont="1"/>
    <xf numFmtId="0" fontId="7" fillId="0" borderId="1" xfId="0" applyFont="1" applyBorder="1"/>
    <xf numFmtId="0" fontId="4" fillId="0" borderId="0" xfId="0" applyFont="1"/>
    <xf numFmtId="0" fontId="3" fillId="0" borderId="0" xfId="0" applyFont="1"/>
    <xf numFmtId="164" fontId="7" fillId="0" borderId="0" xfId="0" applyNumberFormat="1" applyFont="1"/>
    <xf numFmtId="0" fontId="9" fillId="0" borderId="1" xfId="0" applyNumberFormat="1" applyFont="1" applyBorder="1" applyAlignment="1">
      <alignment horizontal="center"/>
    </xf>
    <xf numFmtId="0" fontId="9" fillId="0" borderId="1" xfId="0" applyFont="1" applyBorder="1" applyAlignment="1">
      <alignment horizontal="center"/>
    </xf>
    <xf numFmtId="0" fontId="11" fillId="0" borderId="0" xfId="0" applyFont="1"/>
    <xf numFmtId="10" fontId="0" fillId="0" borderId="1" xfId="3" applyNumberFormat="1" applyFont="1" applyBorder="1" applyAlignment="1">
      <alignment horizontal="center"/>
    </xf>
    <xf numFmtId="0" fontId="0" fillId="0" borderId="5" xfId="0" applyBorder="1"/>
    <xf numFmtId="0" fontId="16" fillId="0" borderId="0" xfId="0" applyFont="1"/>
    <xf numFmtId="0" fontId="0" fillId="0" borderId="0" xfId="0" applyFont="1"/>
    <xf numFmtId="0" fontId="0" fillId="0" borderId="0" xfId="0" applyFont="1" applyBorder="1"/>
    <xf numFmtId="165" fontId="7" fillId="0" borderId="1" xfId="0" applyNumberFormat="1" applyFont="1" applyBorder="1"/>
    <xf numFmtId="2" fontId="0" fillId="0" borderId="1" xfId="0" applyNumberFormat="1" applyBorder="1"/>
    <xf numFmtId="43" fontId="0" fillId="0" borderId="1" xfId="8" applyFont="1" applyBorder="1" applyAlignment="1">
      <alignment horizontal="center"/>
    </xf>
    <xf numFmtId="43" fontId="9" fillId="0" borderId="1" xfId="8" applyFont="1" applyBorder="1" applyAlignment="1">
      <alignment horizontal="center"/>
    </xf>
    <xf numFmtId="0" fontId="0" fillId="0" borderId="0" xfId="0" applyAlignment="1">
      <alignment horizontal="center"/>
    </xf>
    <xf numFmtId="0" fontId="4" fillId="0" borderId="0" xfId="0" applyFont="1" applyFill="1"/>
    <xf numFmtId="0" fontId="0" fillId="0" borderId="0" xfId="0" applyFill="1"/>
    <xf numFmtId="0" fontId="0" fillId="0" borderId="1" xfId="0" applyFill="1" applyBorder="1"/>
    <xf numFmtId="2" fontId="9" fillId="0" borderId="1" xfId="8" applyNumberFormat="1" applyFont="1" applyBorder="1" applyAlignment="1">
      <alignment horizontal="center"/>
    </xf>
    <xf numFmtId="0" fontId="10" fillId="2" borderId="1" xfId="0" applyFont="1" applyFill="1" applyBorder="1" applyAlignment="1">
      <alignment horizontal="center"/>
    </xf>
    <xf numFmtId="2" fontId="10" fillId="2" borderId="1" xfId="0" applyNumberFormat="1" applyFont="1" applyFill="1" applyBorder="1" applyAlignment="1">
      <alignment horizontal="center"/>
    </xf>
    <xf numFmtId="0" fontId="10" fillId="2" borderId="1" xfId="0" applyFont="1" applyFill="1" applyBorder="1"/>
    <xf numFmtId="0" fontId="12" fillId="2" borderId="1" xfId="0" applyNumberFormat="1" applyFont="1" applyFill="1" applyBorder="1" applyAlignment="1">
      <alignment horizontal="center"/>
    </xf>
    <xf numFmtId="43" fontId="10" fillId="2" borderId="1" xfId="8" applyNumberFormat="1" applyFont="1" applyFill="1" applyBorder="1" applyAlignment="1">
      <alignment horizontal="center"/>
    </xf>
    <xf numFmtId="0" fontId="15" fillId="2" borderId="0" xfId="0" applyFont="1" applyFill="1"/>
    <xf numFmtId="0" fontId="0" fillId="2" borderId="0" xfId="0" applyFill="1"/>
    <xf numFmtId="0" fontId="0" fillId="3" borderId="0" xfId="0" applyFill="1"/>
    <xf numFmtId="0" fontId="18" fillId="3" borderId="0" xfId="0" applyFont="1" applyFill="1"/>
    <xf numFmtId="0" fontId="10" fillId="2" borderId="0" xfId="0" applyFont="1" applyFill="1" applyBorder="1"/>
    <xf numFmtId="0" fontId="20" fillId="0" borderId="0" xfId="0" applyFont="1"/>
    <xf numFmtId="0" fontId="15" fillId="0" borderId="0" xfId="0" applyFont="1" applyFill="1"/>
    <xf numFmtId="0" fontId="0" fillId="0" borderId="0" xfId="0" applyFill="1" applyBorder="1"/>
    <xf numFmtId="0" fontId="13" fillId="4" borderId="1" xfId="0" applyFont="1" applyFill="1" applyBorder="1" applyAlignment="1">
      <alignment horizontal="center"/>
    </xf>
    <xf numFmtId="0" fontId="13" fillId="4" borderId="1" xfId="0" applyFont="1" applyFill="1" applyBorder="1"/>
    <xf numFmtId="0" fontId="13" fillId="4" borderId="1" xfId="0" applyFont="1" applyFill="1" applyBorder="1" applyAlignment="1">
      <alignment horizontal="center" wrapText="1"/>
    </xf>
    <xf numFmtId="0" fontId="13" fillId="4" borderId="2" xfId="0" applyFont="1" applyFill="1" applyBorder="1"/>
    <xf numFmtId="0" fontId="14" fillId="4" borderId="3" xfId="0" applyFont="1" applyFill="1" applyBorder="1"/>
    <xf numFmtId="0" fontId="23" fillId="0" borderId="0" xfId="0" applyFont="1" applyFill="1" applyBorder="1"/>
    <xf numFmtId="0" fontId="23" fillId="0" borderId="0" xfId="0" applyFont="1" applyFill="1"/>
    <xf numFmtId="0" fontId="23" fillId="0" borderId="0" xfId="0" applyFont="1" applyBorder="1"/>
    <xf numFmtId="0" fontId="9" fillId="0" borderId="0" xfId="0" applyFont="1" applyFill="1" applyBorder="1" applyAlignment="1">
      <alignment horizontal="center" wrapText="1"/>
    </xf>
    <xf numFmtId="1" fontId="0" fillId="0" borderId="0" xfId="0" applyNumberFormat="1"/>
    <xf numFmtId="0" fontId="4" fillId="6" borderId="13" xfId="0" applyFont="1" applyFill="1" applyBorder="1" applyAlignment="1">
      <alignment horizontal="center"/>
    </xf>
    <xf numFmtId="0" fontId="4" fillId="0" borderId="13" xfId="0" applyFont="1" applyFill="1" applyBorder="1" applyAlignment="1">
      <alignment horizontal="center"/>
    </xf>
    <xf numFmtId="0" fontId="13" fillId="4" borderId="13" xfId="0" applyFont="1" applyFill="1" applyBorder="1" applyAlignment="1">
      <alignment horizontal="center"/>
    </xf>
    <xf numFmtId="0" fontId="13" fillId="4" borderId="7" xfId="0" applyFont="1" applyFill="1" applyBorder="1" applyAlignment="1">
      <alignment horizontal="center"/>
    </xf>
    <xf numFmtId="0" fontId="0" fillId="0" borderId="15" xfId="0" applyBorder="1" applyAlignment="1">
      <alignment horizontal="center"/>
    </xf>
    <xf numFmtId="0" fontId="10" fillId="0" borderId="17" xfId="0" applyFont="1" applyFill="1" applyBorder="1"/>
    <xf numFmtId="0" fontId="0" fillId="0" borderId="2" xfId="0" applyBorder="1"/>
    <xf numFmtId="0" fontId="0" fillId="0" borderId="18" xfId="0" applyBorder="1"/>
    <xf numFmtId="0" fontId="0" fillId="0" borderId="19" xfId="0" applyBorder="1" applyAlignment="1">
      <alignment horizontal="center"/>
    </xf>
    <xf numFmtId="0" fontId="10" fillId="0" borderId="21" xfId="0" applyFont="1" applyFill="1" applyBorder="1"/>
    <xf numFmtId="0" fontId="0" fillId="0" borderId="22" xfId="0" applyBorder="1"/>
    <xf numFmtId="0" fontId="0" fillId="0" borderId="23" xfId="0" applyBorder="1"/>
    <xf numFmtId="0" fontId="0" fillId="0" borderId="24" xfId="0" applyBorder="1"/>
    <xf numFmtId="0" fontId="10" fillId="0" borderId="0" xfId="0" applyFont="1" applyFill="1" applyBorder="1"/>
    <xf numFmtId="0" fontId="10" fillId="0" borderId="0" xfId="0" applyFont="1"/>
    <xf numFmtId="0" fontId="0" fillId="0" borderId="25" xfId="0" applyBorder="1"/>
    <xf numFmtId="0" fontId="0" fillId="0" borderId="26" xfId="0" applyBorder="1"/>
    <xf numFmtId="0" fontId="10" fillId="0" borderId="15" xfId="0" applyFont="1" applyFill="1" applyBorder="1"/>
    <xf numFmtId="0" fontId="0" fillId="0" borderId="27" xfId="0" applyBorder="1"/>
    <xf numFmtId="0" fontId="0" fillId="0" borderId="28" xfId="0" applyBorder="1"/>
    <xf numFmtId="0" fontId="0" fillId="0" borderId="16" xfId="0" applyBorder="1"/>
    <xf numFmtId="0" fontId="0" fillId="0" borderId="29" xfId="0" applyBorder="1"/>
    <xf numFmtId="0" fontId="0" fillId="0" borderId="4" xfId="0" applyBorder="1"/>
    <xf numFmtId="0" fontId="0" fillId="0" borderId="30" xfId="0" applyBorder="1"/>
    <xf numFmtId="0" fontId="4" fillId="0" borderId="7" xfId="0" applyFont="1" applyFill="1" applyBorder="1" applyAlignment="1">
      <alignment horizontal="center"/>
    </xf>
    <xf numFmtId="0" fontId="0" fillId="0" borderId="31" xfId="0" applyBorder="1"/>
    <xf numFmtId="0" fontId="13" fillId="4" borderId="8" xfId="0" applyFont="1" applyFill="1" applyBorder="1" applyAlignment="1">
      <alignment horizontal="center"/>
    </xf>
    <xf numFmtId="0" fontId="4" fillId="0" borderId="14" xfId="0" applyFont="1" applyFill="1" applyBorder="1" applyAlignment="1">
      <alignment horizontal="center"/>
    </xf>
    <xf numFmtId="0" fontId="13" fillId="7" borderId="13" xfId="0" applyFont="1" applyFill="1" applyBorder="1" applyAlignment="1">
      <alignment horizontal="center"/>
    </xf>
    <xf numFmtId="0" fontId="0" fillId="0" borderId="33" xfId="0" applyBorder="1"/>
    <xf numFmtId="0" fontId="0" fillId="0" borderId="34" xfId="0" applyBorder="1"/>
    <xf numFmtId="0" fontId="0" fillId="0" borderId="35" xfId="0" applyBorder="1"/>
    <xf numFmtId="0" fontId="25" fillId="6" borderId="7" xfId="0" applyFont="1" applyFill="1" applyBorder="1" applyAlignment="1"/>
    <xf numFmtId="0" fontId="25" fillId="6" borderId="8" xfId="0" applyFont="1" applyFill="1" applyBorder="1" applyAlignment="1"/>
    <xf numFmtId="0" fontId="26" fillId="7" borderId="32" xfId="0" applyFont="1" applyFill="1" applyBorder="1" applyAlignment="1">
      <alignment horizontal="center"/>
    </xf>
    <xf numFmtId="0" fontId="0" fillId="0" borderId="4" xfId="0" applyFont="1" applyBorder="1"/>
    <xf numFmtId="0" fontId="0" fillId="2" borderId="0" xfId="0" applyFont="1" applyFill="1"/>
    <xf numFmtId="0" fontId="0" fillId="0" borderId="0" xfId="0" applyFont="1" applyFill="1"/>
    <xf numFmtId="0" fontId="20" fillId="0" borderId="0" xfId="0" applyFont="1" applyAlignment="1">
      <alignment horizontal="left"/>
    </xf>
    <xf numFmtId="0" fontId="20" fillId="0" borderId="0" xfId="0" applyFont="1" applyAlignment="1">
      <alignment horizontal="left" wrapText="1"/>
    </xf>
    <xf numFmtId="0" fontId="0" fillId="0" borderId="0" xfId="0" applyAlignment="1">
      <alignment vertical="center"/>
    </xf>
    <xf numFmtId="0" fontId="0" fillId="0" borderId="0" xfId="0" applyFill="1" applyAlignment="1">
      <alignment vertical="center"/>
    </xf>
    <xf numFmtId="0" fontId="0" fillId="0" borderId="0" xfId="0" applyFont="1" applyFill="1" applyAlignment="1">
      <alignment vertical="center"/>
    </xf>
    <xf numFmtId="0" fontId="0" fillId="0" borderId="0" xfId="0" applyFont="1" applyAlignment="1">
      <alignment vertical="center" wrapText="1"/>
    </xf>
    <xf numFmtId="0" fontId="0" fillId="0" borderId="0" xfId="0" applyAlignment="1">
      <alignment wrapText="1"/>
    </xf>
    <xf numFmtId="0" fontId="0" fillId="0" borderId="0" xfId="0" applyFont="1" applyAlignment="1">
      <alignment vertical="center"/>
    </xf>
    <xf numFmtId="0" fontId="0" fillId="0" borderId="0" xfId="0" applyFont="1" applyFill="1" applyAlignment="1">
      <alignment vertical="center" wrapText="1"/>
    </xf>
    <xf numFmtId="166" fontId="0" fillId="0" borderId="1" xfId="0" applyNumberFormat="1" applyBorder="1"/>
    <xf numFmtId="166" fontId="3" fillId="0" borderId="1" xfId="0" applyNumberFormat="1" applyFont="1" applyBorder="1"/>
    <xf numFmtId="0" fontId="4" fillId="4" borderId="1" xfId="0" applyFont="1" applyFill="1" applyBorder="1" applyAlignment="1">
      <alignment horizontal="center"/>
    </xf>
    <xf numFmtId="0" fontId="4" fillId="4" borderId="1" xfId="0" applyFont="1" applyFill="1" applyBorder="1" applyAlignment="1">
      <alignment horizontal="center" wrapText="1"/>
    </xf>
    <xf numFmtId="0" fontId="0" fillId="0" borderId="1" xfId="0" applyFont="1" applyBorder="1"/>
    <xf numFmtId="0" fontId="10" fillId="3" borderId="1" xfId="0" applyNumberFormat="1" applyFont="1" applyFill="1" applyBorder="1" applyAlignment="1">
      <alignment horizontal="center"/>
    </xf>
    <xf numFmtId="0" fontId="28" fillId="0" borderId="0" xfId="0" applyFont="1" applyFill="1" applyAlignment="1">
      <alignment vertical="center"/>
    </xf>
    <xf numFmtId="0" fontId="29" fillId="0" borderId="0" xfId="0" applyFont="1" applyFill="1" applyAlignment="1">
      <alignment vertical="center"/>
    </xf>
    <xf numFmtId="0" fontId="4" fillId="0" borderId="0" xfId="0" applyFont="1" applyAlignment="1">
      <alignment vertical="center"/>
    </xf>
    <xf numFmtId="0" fontId="4" fillId="0" borderId="0" xfId="0" applyFont="1" applyFill="1" applyAlignment="1">
      <alignment vertical="center"/>
    </xf>
    <xf numFmtId="2" fontId="30" fillId="8" borderId="1" xfId="0" applyNumberFormat="1" applyFont="1" applyFill="1" applyBorder="1" applyAlignment="1">
      <alignment horizontal="center"/>
    </xf>
    <xf numFmtId="2" fontId="30" fillId="8" borderId="4" xfId="0" applyNumberFormat="1" applyFont="1" applyFill="1" applyBorder="1" applyAlignment="1">
      <alignment horizontal="center"/>
    </xf>
    <xf numFmtId="2" fontId="30" fillId="8" borderId="27" xfId="0" applyNumberFormat="1" applyFont="1" applyFill="1" applyBorder="1" applyAlignment="1">
      <alignment horizontal="center"/>
    </xf>
    <xf numFmtId="2" fontId="30" fillId="8" borderId="29" xfId="0" applyNumberFormat="1" applyFont="1" applyFill="1" applyBorder="1" applyAlignment="1">
      <alignment horizontal="center"/>
    </xf>
    <xf numFmtId="0" fontId="31" fillId="3" borderId="0" xfId="0" applyFont="1" applyFill="1"/>
    <xf numFmtId="0" fontId="0" fillId="3" borderId="0" xfId="0" applyFont="1" applyFill="1"/>
    <xf numFmtId="0" fontId="19" fillId="0" borderId="0" xfId="0" applyFont="1"/>
    <xf numFmtId="0" fontId="4" fillId="0" borderId="8" xfId="0" applyFont="1" applyFill="1" applyBorder="1" applyAlignment="1">
      <alignment horizontal="center"/>
    </xf>
    <xf numFmtId="0" fontId="10" fillId="0" borderId="4" xfId="0" applyFont="1" applyFill="1" applyBorder="1"/>
    <xf numFmtId="0" fontId="10" fillId="0" borderId="30" xfId="0" applyFont="1" applyFill="1" applyBorder="1"/>
    <xf numFmtId="0" fontId="0" fillId="0" borderId="1" xfId="0" applyBorder="1" applyAlignment="1">
      <alignment horizontal="center"/>
    </xf>
    <xf numFmtId="0" fontId="0" fillId="0" borderId="17"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4" fillId="6" borderId="39" xfId="0" applyFont="1" applyFill="1" applyBorder="1" applyAlignment="1">
      <alignment horizontal="center"/>
    </xf>
    <xf numFmtId="0" fontId="4" fillId="6" borderId="40" xfId="0" applyFont="1" applyFill="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3" fillId="0" borderId="0" xfId="0" applyFont="1" applyBorder="1" applyAlignment="1">
      <alignment horizontal="center"/>
    </xf>
    <xf numFmtId="166" fontId="0" fillId="0" borderId="0" xfId="0" applyNumberFormat="1" applyBorder="1"/>
    <xf numFmtId="0" fontId="10" fillId="0" borderId="42" xfId="0" applyFont="1" applyFill="1" applyBorder="1"/>
    <xf numFmtId="0" fontId="0" fillId="0" borderId="37" xfId="0" applyBorder="1"/>
    <xf numFmtId="0" fontId="0" fillId="0" borderId="43" xfId="0" applyBorder="1"/>
    <xf numFmtId="0" fontId="0" fillId="0" borderId="38" xfId="0" applyBorder="1"/>
    <xf numFmtId="0" fontId="0" fillId="0" borderId="42" xfId="0" applyBorder="1"/>
    <xf numFmtId="0" fontId="0" fillId="0" borderId="44" xfId="0" applyBorder="1"/>
    <xf numFmtId="0" fontId="0" fillId="0" borderId="45" xfId="0" applyBorder="1"/>
    <xf numFmtId="0" fontId="0" fillId="0" borderId="46" xfId="0" applyBorder="1"/>
    <xf numFmtId="0" fontId="4" fillId="6" borderId="41" xfId="0" applyFont="1" applyFill="1" applyBorder="1" applyAlignment="1">
      <alignment horizontal="center"/>
    </xf>
    <xf numFmtId="0" fontId="0" fillId="0" borderId="38" xfId="0" applyFont="1" applyBorder="1" applyAlignment="1">
      <alignment horizontal="center"/>
    </xf>
    <xf numFmtId="0" fontId="0" fillId="0" borderId="18" xfId="0" applyFont="1" applyBorder="1" applyAlignment="1">
      <alignment horizontal="center"/>
    </xf>
    <xf numFmtId="0" fontId="0" fillId="0" borderId="24" xfId="0" applyFont="1" applyBorder="1" applyAlignment="1">
      <alignment horizontal="center"/>
    </xf>
    <xf numFmtId="0" fontId="0" fillId="0" borderId="16" xfId="0" applyFont="1" applyBorder="1" applyAlignment="1">
      <alignment horizontal="center"/>
    </xf>
    <xf numFmtId="0" fontId="0" fillId="0" borderId="20" xfId="0" applyFont="1" applyBorder="1" applyAlignment="1">
      <alignment horizontal="center"/>
    </xf>
    <xf numFmtId="0" fontId="28" fillId="0" borderId="0" xfId="0" applyFont="1" applyAlignment="1">
      <alignment vertical="center"/>
    </xf>
    <xf numFmtId="0" fontId="0" fillId="0" borderId="0" xfId="0" applyFont="1" applyBorder="1" applyAlignment="1">
      <alignment horizontal="left" wrapText="1"/>
    </xf>
    <xf numFmtId="0" fontId="0" fillId="0" borderId="0" xfId="0" applyFont="1" applyAlignment="1">
      <alignment horizontal="left" wrapText="1"/>
    </xf>
    <xf numFmtId="0" fontId="0" fillId="0" borderId="0" xfId="0" applyBorder="1" applyAlignment="1">
      <alignment horizontal="left" wrapText="1"/>
    </xf>
    <xf numFmtId="0" fontId="26" fillId="4" borderId="7"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8" xfId="0" applyFont="1" applyFill="1" applyBorder="1" applyAlignment="1">
      <alignment horizontal="center" vertical="center"/>
    </xf>
    <xf numFmtId="0" fontId="25" fillId="6" borderId="10" xfId="0" applyFont="1" applyFill="1" applyBorder="1" applyAlignment="1">
      <alignment horizontal="center"/>
    </xf>
    <xf numFmtId="0" fontId="25" fillId="6" borderId="11" xfId="0" applyFont="1" applyFill="1" applyBorder="1" applyAlignment="1">
      <alignment horizontal="center"/>
    </xf>
    <xf numFmtId="0" fontId="25" fillId="6" borderId="12" xfId="0" applyFont="1" applyFill="1" applyBorder="1" applyAlignment="1">
      <alignment horizontal="center"/>
    </xf>
    <xf numFmtId="0" fontId="25" fillId="0" borderId="10" xfId="0" applyFont="1" applyFill="1" applyBorder="1" applyAlignment="1">
      <alignment horizontal="center"/>
    </xf>
    <xf numFmtId="0" fontId="25" fillId="0" borderId="11" xfId="0" applyFont="1" applyFill="1" applyBorder="1" applyAlignment="1">
      <alignment horizontal="center"/>
    </xf>
    <xf numFmtId="0" fontId="25" fillId="0" borderId="12" xfId="0" applyFont="1" applyFill="1" applyBorder="1" applyAlignment="1">
      <alignment horizontal="center"/>
    </xf>
    <xf numFmtId="0" fontId="5" fillId="5" borderId="6" xfId="9" applyFill="1" applyBorder="1" applyAlignment="1">
      <alignment horizontal="center" vertical="center"/>
    </xf>
    <xf numFmtId="0" fontId="5" fillId="5" borderId="0" xfId="9" applyFill="1" applyBorder="1" applyAlignment="1">
      <alignment horizontal="center" vertical="center"/>
    </xf>
    <xf numFmtId="0" fontId="0" fillId="5" borderId="6" xfId="0" applyFill="1" applyBorder="1" applyAlignment="1">
      <alignment horizontal="center"/>
    </xf>
    <xf numFmtId="0" fontId="0" fillId="5" borderId="0" xfId="0" applyFill="1" applyBorder="1" applyAlignment="1">
      <alignment horizontal="center"/>
    </xf>
    <xf numFmtId="0" fontId="24" fillId="0" borderId="0" xfId="0" applyFont="1" applyBorder="1" applyAlignment="1">
      <alignment horizontal="left" wrapText="1"/>
    </xf>
    <xf numFmtId="0" fontId="0" fillId="0" borderId="0" xfId="0" applyFont="1" applyBorder="1" applyAlignment="1">
      <alignment horizontal="left"/>
    </xf>
    <xf numFmtId="0" fontId="0" fillId="9" borderId="1" xfId="0" applyFill="1" applyBorder="1" applyAlignment="1">
      <alignment horizontal="center"/>
    </xf>
    <xf numFmtId="0" fontId="0" fillId="9" borderId="1" xfId="0" applyFill="1" applyBorder="1"/>
    <xf numFmtId="0" fontId="0" fillId="9" borderId="2" xfId="0" applyFill="1" applyBorder="1" applyAlignment="1">
      <alignment horizontal="left" vertical="top"/>
    </xf>
    <xf numFmtId="0" fontId="0" fillId="9" borderId="3" xfId="0" applyFill="1" applyBorder="1" applyAlignment="1">
      <alignment horizontal="left" vertical="top"/>
    </xf>
    <xf numFmtId="0" fontId="0" fillId="9" borderId="4" xfId="0" applyFill="1" applyBorder="1" applyAlignment="1">
      <alignment horizontal="left" vertical="top"/>
    </xf>
    <xf numFmtId="0" fontId="0" fillId="3" borderId="1" xfId="0" applyFill="1" applyBorder="1" applyAlignment="1">
      <alignment horizontal="left" vertical="top" wrapText="1"/>
    </xf>
    <xf numFmtId="0" fontId="0" fillId="3" borderId="1" xfId="0" applyFill="1" applyBorder="1" applyAlignment="1">
      <alignment horizontal="left" vertical="top"/>
    </xf>
  </cellXfs>
  <cellStyles count="10">
    <cellStyle name="Comma" xfId="8" builtinId="3"/>
    <cellStyle name="Followed Hyperlink" xfId="2" builtinId="9" hidden="1"/>
    <cellStyle name="Followed Hyperlink" xfId="5" builtinId="9" hidden="1"/>
    <cellStyle name="Followed Hyperlink" xfId="7" builtinId="9" hidden="1"/>
    <cellStyle name="Hyperlink" xfId="1" builtinId="8" hidden="1"/>
    <cellStyle name="Hyperlink" xfId="4" builtinId="8" hidden="1"/>
    <cellStyle name="Hyperlink" xfId="6" builtinId="8" hidden="1"/>
    <cellStyle name="Hyperlink" xfId="9" builtinId="8"/>
    <cellStyle name="Normal" xfId="0" builtinId="0"/>
    <cellStyle name="Percent" xfId="3" builtinId="5"/>
  </cellStyles>
  <dxfs count="3">
    <dxf>
      <alignment horizontal="general" vertical="center" textRotation="0" wrapText="0"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0" indent="0" justifyLastLine="0" shrinkToFit="0" readingOrder="0"/>
    </dxf>
  </dxfs>
  <tableStyles count="0" defaultTableStyle="TableStyleMedium9" defaultPivotStyle="PivotStyleMedium7"/>
  <colors>
    <mruColors>
      <color rgb="FF1A6CB7"/>
      <color rgb="FF007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manualLayout>
          <c:layoutTarget val="inner"/>
          <c:xMode val="edge"/>
          <c:yMode val="edge"/>
          <c:x val="4.6270778652668397E-2"/>
          <c:y val="0.224427083333333"/>
          <c:w val="0.91128477690288701"/>
          <c:h val="0.64105068897637796"/>
        </c:manualLayout>
      </c:layout>
      <c:scatterChart>
        <c:scatterStyle val="lineMarker"/>
        <c:varyColors val="0"/>
        <c:ser>
          <c:idx val="0"/>
          <c:order val="0"/>
          <c:tx>
            <c:v>Standard Curve</c:v>
          </c:tx>
          <c:spPr>
            <a:ln w="25400" cap="flat" cmpd="sng" algn="ctr">
              <a:noFill/>
              <a:prstDash val="sysDot"/>
              <a:round/>
            </a:ln>
            <a:effectLst/>
          </c:spPr>
          <c:marker>
            <c:symbol val="circle"/>
            <c:size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trendline>
            <c:spPr>
              <a:ln w="9525" cap="rnd">
                <a:solidFill>
                  <a:schemeClr val="accent1"/>
                </a:solidFill>
              </a:ln>
              <a:effectLst/>
            </c:spPr>
            <c:trendlineType val="linear"/>
            <c:dispRSqr val="1"/>
            <c:dispEq val="1"/>
            <c:trendlineLbl>
              <c:layout>
                <c:manualLayout>
                  <c:x val="-0.44870100612423403"/>
                  <c:y val="-7.1975430154563994E-2"/>
                </c:manualLayout>
              </c:layout>
              <c:numFmt formatCode="General" sourceLinked="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rendlineLbl>
          </c:trendline>
          <c:xVal>
            <c:numRef>
              <c:f>'Arima-QC2'!$H$21:$H$26</c:f>
              <c:numCache>
                <c:formatCode>_(* #,##0.00_);_(* \(#,##0.00\);_(* "-"??_);_(@_)</c:formatCode>
                <c:ptCount val="6"/>
                <c:pt idx="0">
                  <c:v>1.3010299956639813</c:v>
                </c:pt>
                <c:pt idx="1">
                  <c:v>0.3010299956639812</c:v>
                </c:pt>
                <c:pt idx="2">
                  <c:v>-0.69897000433601875</c:v>
                </c:pt>
                <c:pt idx="3">
                  <c:v>-1.6989700043360187</c:v>
                </c:pt>
                <c:pt idx="4">
                  <c:v>-2.6989700043360187</c:v>
                </c:pt>
                <c:pt idx="5">
                  <c:v>-3.6989700043360187</c:v>
                </c:pt>
              </c:numCache>
            </c:numRef>
          </c:xVal>
          <c:yVal>
            <c:numRef>
              <c:f>'Arima-QC2'!$E$21:$E$26</c:f>
              <c:numCache>
                <c:formatCode>_(* #,##0.00_);_(* \(#,##0.00\);_(* "-"??_);_(@_)</c:formatCode>
                <c:ptCount val="6"/>
                <c:pt idx="0">
                  <c:v>9.5466666666666669</c:v>
                </c:pt>
                <c:pt idx="1">
                  <c:v>12.64</c:v>
                </c:pt>
                <c:pt idx="2">
                  <c:v>15.96</c:v>
                </c:pt>
                <c:pt idx="3">
                  <c:v>19.41333333333333</c:v>
                </c:pt>
                <c:pt idx="4">
                  <c:v>22.939999999999998</c:v>
                </c:pt>
                <c:pt idx="5">
                  <c:v>26.106666666666666</c:v>
                </c:pt>
              </c:numCache>
            </c:numRef>
          </c:yVal>
          <c:smooth val="0"/>
          <c:extLst>
            <c:ext xmlns:c16="http://schemas.microsoft.com/office/drawing/2014/chart" uri="{C3380CC4-5D6E-409C-BE32-E72D297353CC}">
              <c16:uniqueId val="{00000001-4966-314E-8A3B-3FD64E6A51DF}"/>
            </c:ext>
          </c:extLst>
        </c:ser>
        <c:dLbls>
          <c:showLegendKey val="0"/>
          <c:showVal val="0"/>
          <c:showCatName val="0"/>
          <c:showSerName val="0"/>
          <c:showPercent val="0"/>
          <c:showBubbleSize val="0"/>
        </c:dLbls>
        <c:axId val="1800499136"/>
        <c:axId val="1797123760"/>
      </c:scatterChart>
      <c:valAx>
        <c:axId val="180049913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797123760"/>
        <c:crosses val="autoZero"/>
        <c:crossBetween val="midCat"/>
      </c:valAx>
      <c:valAx>
        <c:axId val="1797123760"/>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800499136"/>
        <c:crosses val="autoZero"/>
        <c:crossBetween val="midCat"/>
      </c:valAx>
      <c:spPr>
        <a:gradFill>
          <a:gsLst>
            <a:gs pos="100000">
              <a:schemeClr val="lt1">
                <a:lumMod val="95000"/>
              </a:schemeClr>
            </a:gs>
            <a:gs pos="0">
              <a:schemeClr val="lt1">
                <a:alpha val="0"/>
              </a:schemeClr>
            </a:gs>
          </a:gsLst>
          <a:lin ang="5400000" scaled="0"/>
        </a:gradFill>
        <a:ln>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6">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effectRef idx="1"/>
    <cs:fontRef idx="minor">
      <a:schemeClr val="dk1"/>
    </cs:fontRef>
    <cs:spPr>
      <a:ln w="9525" cap="flat" cmpd="sng" algn="ctr">
        <a:solidFill>
          <a:schemeClr val="phClr">
            <a:alpha val="70000"/>
          </a:schemeClr>
        </a:solidFill>
        <a:prstDash val="sysDot"/>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rnd">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rnd">
        <a:solidFill>
          <a:schemeClr val="dk1">
            <a:lumMod val="65000"/>
            <a:lumOff val="35000"/>
          </a:schemeClr>
        </a:solidFill>
        <a:round/>
      </a:ln>
    </cs:spPr>
  </cs:downBar>
  <cs:dropLine>
    <cs:lnRef idx="0"/>
    <cs:fillRef idx="0"/>
    <cs:effectRef idx="0"/>
    <cs:fontRef idx="minor">
      <a:schemeClr val="dk1"/>
    </cs:fontRef>
    <cs:spPr>
      <a:ln w="9525" cap="rnd">
        <a:solidFill>
          <a:schemeClr val="dk1">
            <a:lumMod val="35000"/>
            <a:lumOff val="65000"/>
          </a:schemeClr>
        </a:solidFill>
        <a:round/>
      </a:ln>
    </cs:spPr>
  </cs:dropLine>
  <cs:errorBar>
    <cs:lnRef idx="0"/>
    <cs:fillRef idx="0"/>
    <cs:effectRef idx="0"/>
    <cs:fontRef idx="minor">
      <a:schemeClr val="dk1"/>
    </cs:fontRef>
    <cs:spPr>
      <a:ln w="9525" cap="rnd">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rnd">
        <a:solidFill>
          <a:schemeClr val="dk1">
            <a:lumMod val="35000"/>
            <a:lumOff val="65000"/>
          </a:schemeClr>
        </a:solidFill>
        <a:round/>
      </a:ln>
    </cs:spPr>
  </cs:hiLoLine>
  <cs:leaderLine>
    <cs:lnRef idx="0"/>
    <cs:fillRef idx="0"/>
    <cs:effectRef idx="0"/>
    <cs:fontRef idx="minor">
      <a:schemeClr val="dk1"/>
    </cs:fontRef>
    <cs:spPr>
      <a:ln w="9525" cap="rnd">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spc="0" baseline="0"/>
  </cs:legend>
  <cs:plotArea>
    <cs:lnRef idx="0"/>
    <cs:fillRef idx="0"/>
    <cs:effectRef idx="0"/>
    <cs:fontRef idx="minor">
      <a:schemeClr val="dk1"/>
    </cs:fontRef>
    <cs:spPr>
      <a:gradFill>
        <a:gsLst>
          <a:gs pos="100000">
            <a:schemeClr val="lt1">
              <a:lumMod val="95000"/>
            </a:schemeClr>
          </a:gs>
          <a:gs pos="0">
            <a:schemeClr val="lt1">
              <a:alpha val="0"/>
            </a:schemeClr>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seriesAxis>
  <cs:seriesLine>
    <cs:lnRef idx="0"/>
    <cs:fillRef idx="0"/>
    <cs:effectRef idx="0"/>
    <cs:fontRef idx="minor">
      <a:schemeClr val="dk1"/>
    </cs:fontRef>
    <cs:spPr>
      <a:ln w="9525" cap="rnd">
        <a:solidFill>
          <a:schemeClr val="dk1">
            <a:lumMod val="35000"/>
            <a:lumOff val="65000"/>
          </a:schemeClr>
        </a:solidFill>
        <a:round/>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spPr>
      <a:ln w="9525" cap="rnd">
        <a:solidFill>
          <a:schemeClr val="dk1">
            <a:lumMod val="25000"/>
            <a:lumOff val="75000"/>
          </a:schemeClr>
        </a:solidFill>
        <a:round/>
      </a:ln>
    </cs:spPr>
    <cs:defRPr sz="900" kern="1200" spc="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rimagenomics.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151301</xdr:rowOff>
    </xdr:from>
    <xdr:to>
      <xdr:col>2</xdr:col>
      <xdr:colOff>83820</xdr:colOff>
      <xdr:row>3</xdr:row>
      <xdr:rowOff>15323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151301"/>
          <a:ext cx="1950720" cy="473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151301</xdr:rowOff>
    </xdr:from>
    <xdr:to>
      <xdr:col>1</xdr:col>
      <xdr:colOff>871220</xdr:colOff>
      <xdr:row>3</xdr:row>
      <xdr:rowOff>15323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51301"/>
          <a:ext cx="1950720" cy="473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362856</xdr:colOff>
      <xdr:row>19</xdr:row>
      <xdr:rowOff>3630</xdr:rowOff>
    </xdr:from>
    <xdr:to>
      <xdr:col>18</xdr:col>
      <xdr:colOff>571499</xdr:colOff>
      <xdr:row>32</xdr:row>
      <xdr:rowOff>50800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50800</xdr:colOff>
      <xdr:row>0</xdr:row>
      <xdr:rowOff>62401</xdr:rowOff>
    </xdr:from>
    <xdr:to>
      <xdr:col>1</xdr:col>
      <xdr:colOff>1016000</xdr:colOff>
      <xdr:row>3</xdr:row>
      <xdr:rowOff>7827</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2401"/>
          <a:ext cx="2286000" cy="555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D295D2C7-8034-D144-93CD-2755B9B993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3" name="Picture 2">
          <a:hlinkClick xmlns:r="http://schemas.openxmlformats.org/officeDocument/2006/relationships" r:id="rId1"/>
          <a:extLst>
            <a:ext uri="{FF2B5EF4-FFF2-40B4-BE49-F238E27FC236}">
              <a16:creationId xmlns:a16="http://schemas.microsoft.com/office/drawing/2014/main" id="{90F0D85A-E468-9045-B994-D5EB94A45B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4" name="Picture 3">
          <a:hlinkClick xmlns:r="http://schemas.openxmlformats.org/officeDocument/2006/relationships" r:id="rId1"/>
          <a:extLst>
            <a:ext uri="{FF2B5EF4-FFF2-40B4-BE49-F238E27FC236}">
              <a16:creationId xmlns:a16="http://schemas.microsoft.com/office/drawing/2014/main" id="{BC488F43-A8C6-3540-9430-9BFE46B2259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50800</xdr:colOff>
      <xdr:row>0</xdr:row>
      <xdr:rowOff>63500</xdr:rowOff>
    </xdr:from>
    <xdr:to>
      <xdr:col>1</xdr:col>
      <xdr:colOff>909320</xdr:colOff>
      <xdr:row>2</xdr:row>
      <xdr:rowOff>130722</xdr:rowOff>
    </xdr:to>
    <xdr:pic>
      <xdr:nvPicPr>
        <xdr:cNvPr id="2" name="Picture 1">
          <a:hlinkClick xmlns:r="http://schemas.openxmlformats.org/officeDocument/2006/relationships" r:id="rId1"/>
          <a:extLst>
            <a:ext uri="{FF2B5EF4-FFF2-40B4-BE49-F238E27FC236}">
              <a16:creationId xmlns:a16="http://schemas.microsoft.com/office/drawing/2014/main" id="{50260FB8-0036-784D-A6E1-08262406E0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3" name="Picture 2">
          <a:hlinkClick xmlns:r="http://schemas.openxmlformats.org/officeDocument/2006/relationships" r:id="rId1"/>
          <a:extLst>
            <a:ext uri="{FF2B5EF4-FFF2-40B4-BE49-F238E27FC236}">
              <a16:creationId xmlns:a16="http://schemas.microsoft.com/office/drawing/2014/main" id="{2E7B84F4-8FB1-9144-87EC-B978396CAC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twoCellAnchor editAs="oneCell">
    <xdr:from>
      <xdr:col>0</xdr:col>
      <xdr:colOff>50800</xdr:colOff>
      <xdr:row>0</xdr:row>
      <xdr:rowOff>63500</xdr:rowOff>
    </xdr:from>
    <xdr:to>
      <xdr:col>1</xdr:col>
      <xdr:colOff>909320</xdr:colOff>
      <xdr:row>2</xdr:row>
      <xdr:rowOff>130722</xdr:rowOff>
    </xdr:to>
    <xdr:pic>
      <xdr:nvPicPr>
        <xdr:cNvPr id="4" name="Picture 3">
          <a:hlinkClick xmlns:r="http://schemas.openxmlformats.org/officeDocument/2006/relationships" r:id="rId1"/>
          <a:extLst>
            <a:ext uri="{FF2B5EF4-FFF2-40B4-BE49-F238E27FC236}">
              <a16:creationId xmlns:a16="http://schemas.microsoft.com/office/drawing/2014/main" id="{ECEA107B-DAEF-EF45-8B2F-CAB648CDCD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63500"/>
          <a:ext cx="1950720" cy="4736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B75259-C78F-B647-8B42-56BF0A83BB9A}" name="Table13" displayName="Table13" ref="A1:C19" totalsRowShown="0">
  <autoFilter ref="A1:C19" xr:uid="{CA907D62-2CC0-274F-AD5E-05FAF8F9DD39}"/>
  <tableColumns count="3">
    <tableColumn id="1" xr3:uid="{540F3BDC-3551-3C42-8369-590C5730BD19}" name="Metric" dataDxfId="2"/>
    <tableColumn id="2" xr3:uid="{76671479-BC57-6E45-8374-1C68C7A00615}" name="Definition" dataDxfId="1"/>
    <tableColumn id="3" xr3:uid="{F9543E53-0CF8-CB40-93CD-24399115B106}" name="Target Specification"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ftp://ftp-arimagenomics.sdsc.edu/pub/singularity/Arima-SV-Pipeline-singularity-v1.sif" TargetMode="External"/><Relationship Id="rId1" Type="http://schemas.openxmlformats.org/officeDocument/2006/relationships/hyperlink" Target="https://github.com/ArimaGenomics/Arima-SV-Pipelin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ftp://ftp-arimagenomics.sdsc.edu/pub/singularity/Arima-SV-Pipeline-singularity-v1.sif" TargetMode="External"/><Relationship Id="rId1" Type="http://schemas.openxmlformats.org/officeDocument/2006/relationships/hyperlink" Target="https://github.com/ArimaGenomics/Arima-SV-Pipeline"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15"/>
  <sheetViews>
    <sheetView workbookViewId="0">
      <selection activeCell="I13" sqref="I13"/>
    </sheetView>
  </sheetViews>
  <sheetFormatPr baseColWidth="10" defaultColWidth="10.83203125" defaultRowHeight="16"/>
  <cols>
    <col min="1" max="1" width="10.83203125" style="33"/>
    <col min="2" max="2" width="14.5" style="33" customWidth="1"/>
    <col min="3" max="3" width="14.6640625" style="33" bestFit="1" customWidth="1"/>
    <col min="4" max="16384" width="10.83203125" style="33"/>
  </cols>
  <sheetData>
    <row r="5" spans="1:7" ht="19">
      <c r="A5" s="31" t="s">
        <v>58</v>
      </c>
      <c r="B5" s="32"/>
      <c r="C5" s="23"/>
    </row>
    <row r="6" spans="1:7" ht="17">
      <c r="A6" s="34" t="s">
        <v>140</v>
      </c>
    </row>
    <row r="7" spans="1:7" ht="17">
      <c r="A7" s="110" t="s">
        <v>158</v>
      </c>
      <c r="B7" s="111"/>
      <c r="C7" s="111"/>
    </row>
    <row r="8" spans="1:7" ht="17">
      <c r="A8" s="110" t="s">
        <v>159</v>
      </c>
      <c r="B8" s="111"/>
      <c r="C8" s="111"/>
    </row>
    <row r="9" spans="1:7">
      <c r="A9" s="111"/>
      <c r="B9" s="111"/>
      <c r="C9" s="111"/>
    </row>
    <row r="10" spans="1:7" ht="19">
      <c r="A10" s="31" t="s">
        <v>162</v>
      </c>
      <c r="B10" s="32"/>
      <c r="C10" s="32"/>
      <c r="D10" s="32"/>
      <c r="E10" s="32"/>
      <c r="F10" s="32"/>
      <c r="G10" s="32"/>
    </row>
    <row r="11" spans="1:7">
      <c r="A11" s="159" t="s">
        <v>163</v>
      </c>
      <c r="B11" s="159"/>
      <c r="C11" s="160" t="s">
        <v>164</v>
      </c>
      <c r="D11" s="161" t="s">
        <v>165</v>
      </c>
      <c r="E11" s="162"/>
      <c r="F11" s="162"/>
      <c r="G11" s="163"/>
    </row>
    <row r="12" spans="1:7" ht="70" customHeight="1">
      <c r="A12" s="164" t="s">
        <v>168</v>
      </c>
      <c r="B12" s="164"/>
      <c r="C12" s="165" t="s">
        <v>167</v>
      </c>
      <c r="D12" s="164" t="s">
        <v>166</v>
      </c>
      <c r="E12" s="164"/>
      <c r="F12" s="164"/>
      <c r="G12" s="164"/>
    </row>
    <row r="14" spans="1:7" ht="17">
      <c r="A14" s="112" t="s">
        <v>141</v>
      </c>
    </row>
    <row r="15" spans="1:7">
      <c r="A15" s="33" t="s">
        <v>142</v>
      </c>
    </row>
  </sheetData>
  <mergeCells count="4">
    <mergeCell ref="A12:B12"/>
    <mergeCell ref="D12:G12"/>
    <mergeCell ref="A11:B11"/>
    <mergeCell ref="D11:G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O38"/>
  <sheetViews>
    <sheetView tabSelected="1" topLeftCell="A11" workbookViewId="0">
      <selection activeCell="K27" sqref="K27"/>
    </sheetView>
  </sheetViews>
  <sheetFormatPr baseColWidth="10" defaultColWidth="11" defaultRowHeight="16"/>
  <cols>
    <col min="1" max="1" width="14.6640625" customWidth="1"/>
    <col min="2" max="2" width="12.33203125" customWidth="1"/>
    <col min="3" max="3" width="13.33203125" customWidth="1"/>
    <col min="4" max="4" width="7.33203125" customWidth="1"/>
    <col min="5" max="5" width="9.5" customWidth="1"/>
    <col min="6" max="6" width="15.1640625" customWidth="1"/>
    <col min="7" max="7" width="9.6640625" bestFit="1" customWidth="1"/>
    <col min="8" max="8" width="13.33203125" customWidth="1"/>
    <col min="9" max="9" width="28.33203125" customWidth="1"/>
  </cols>
  <sheetData>
    <row r="5" spans="1:15" ht="19">
      <c r="A5" s="31" t="s">
        <v>56</v>
      </c>
      <c r="B5" s="32"/>
      <c r="C5" s="32"/>
      <c r="E5" s="13"/>
    </row>
    <row r="6" spans="1:15">
      <c r="A6" s="15" t="s">
        <v>66</v>
      </c>
    </row>
    <row r="7" spans="1:15" s="23" customFormat="1" ht="19">
      <c r="A7" s="37"/>
      <c r="E7" s="38"/>
    </row>
    <row r="8" spans="1:15">
      <c r="A8" s="14" t="s">
        <v>53</v>
      </c>
      <c r="B8" s="15"/>
      <c r="C8" s="15"/>
      <c r="D8" s="15"/>
      <c r="E8" s="15"/>
      <c r="F8" s="15"/>
      <c r="G8" s="15"/>
      <c r="H8" s="15"/>
      <c r="I8" s="15"/>
    </row>
    <row r="9" spans="1:15" s="6" customFormat="1">
      <c r="A9" s="6" t="s">
        <v>67</v>
      </c>
    </row>
    <row r="10" spans="1:15">
      <c r="A10" s="15" t="s">
        <v>106</v>
      </c>
      <c r="B10" s="15"/>
      <c r="C10" s="15"/>
      <c r="D10" s="15"/>
      <c r="E10" s="15"/>
      <c r="F10" s="15"/>
      <c r="G10" s="15"/>
      <c r="H10" s="15"/>
      <c r="I10" s="15"/>
    </row>
    <row r="11" spans="1:15" s="1" customFormat="1" ht="54" customHeight="1">
      <c r="A11" s="141" t="s">
        <v>160</v>
      </c>
      <c r="B11" s="141"/>
      <c r="C11" s="141"/>
      <c r="D11" s="141"/>
      <c r="E11" s="141"/>
      <c r="F11" s="141"/>
      <c r="G11" s="141"/>
      <c r="H11" s="141"/>
      <c r="I11" s="141"/>
      <c r="J11" s="141"/>
      <c r="K11" s="141"/>
      <c r="L11" s="141"/>
      <c r="M11" s="141"/>
      <c r="N11" s="141"/>
      <c r="O11" s="141"/>
    </row>
    <row r="12" spans="1:15" s="1" customFormat="1" ht="31" customHeight="1">
      <c r="A12" s="141" t="s">
        <v>161</v>
      </c>
      <c r="B12" s="141"/>
      <c r="C12" s="141"/>
      <c r="D12" s="141"/>
      <c r="E12" s="141"/>
      <c r="F12" s="141"/>
      <c r="G12" s="141"/>
      <c r="H12" s="141"/>
      <c r="I12" s="141"/>
      <c r="J12" s="141"/>
      <c r="K12" s="141"/>
      <c r="L12" s="141"/>
      <c r="M12" s="141"/>
      <c r="N12" s="141"/>
      <c r="O12" s="141"/>
    </row>
    <row r="13" spans="1:15" s="1" customFormat="1">
      <c r="A13" s="16"/>
      <c r="B13" s="16"/>
      <c r="C13" s="16"/>
      <c r="D13" s="16"/>
      <c r="E13" s="16"/>
      <c r="F13" s="16"/>
      <c r="G13" s="16"/>
      <c r="H13" s="16"/>
      <c r="I13" s="16"/>
    </row>
    <row r="14" spans="1:15" s="46" customFormat="1" ht="21">
      <c r="A14" s="46" t="s">
        <v>71</v>
      </c>
    </row>
    <row r="15" spans="1:15" ht="34" customHeight="1">
      <c r="A15" s="41" t="s">
        <v>1</v>
      </c>
      <c r="B15" s="41" t="s">
        <v>2</v>
      </c>
      <c r="C15" s="41" t="s">
        <v>3</v>
      </c>
      <c r="D15" s="41" t="s">
        <v>0</v>
      </c>
      <c r="E15" s="41" t="s">
        <v>36</v>
      </c>
      <c r="F15" s="41" t="s">
        <v>72</v>
      </c>
      <c r="G15" s="4"/>
      <c r="H15" s="3"/>
      <c r="I15" s="41" t="s">
        <v>143</v>
      </c>
      <c r="J15" s="47" t="s">
        <v>73</v>
      </c>
    </row>
    <row r="16" spans="1:15">
      <c r="A16" s="28" t="s">
        <v>27</v>
      </c>
      <c r="B16" s="5" t="s">
        <v>5</v>
      </c>
      <c r="C16" s="28">
        <v>16.7</v>
      </c>
      <c r="D16" s="5" t="s">
        <v>4</v>
      </c>
      <c r="E16" s="5">
        <f>C16*30</f>
        <v>501</v>
      </c>
      <c r="F16" s="5" t="str">
        <f>IF(E16&gt;=500, "Yes", "No")</f>
        <v>Yes</v>
      </c>
      <c r="G16" s="3"/>
      <c r="H16" s="3"/>
      <c r="I16" s="5" t="str">
        <f>IF(E16&lt;500, "1 Cycle", IF(AND(E16&gt;=500, E16&lt;1000), "2 Cycles", IF(AND(E16&gt;=1000, E16&lt;=2000), "3 Cycles", IF(E16&gt;2000, "Split Over Multiple Tubes", "Error"))))</f>
        <v>2 Cycles</v>
      </c>
    </row>
    <row r="17" spans="1:9">
      <c r="A17" s="28" t="s">
        <v>28</v>
      </c>
      <c r="B17" s="5" t="s">
        <v>5</v>
      </c>
      <c r="C17" s="28">
        <v>16.600000000000001</v>
      </c>
      <c r="D17" s="5" t="s">
        <v>4</v>
      </c>
      <c r="E17" s="5">
        <f t="shared" ref="E17:E23" si="0">C17*30</f>
        <v>498.00000000000006</v>
      </c>
      <c r="F17" s="5" t="str">
        <f t="shared" ref="F17:F23" si="1">IF(E17&gt;=500, "Yes", "No")</f>
        <v>No</v>
      </c>
      <c r="G17" s="3"/>
      <c r="H17" s="3"/>
      <c r="I17" s="5" t="str">
        <f t="shared" ref="I17:I23" si="2">IF(E17&lt;500, "1 Cycle", IF(AND(E17&gt;=500, E17&lt;1000), "2 Cycles", IF(AND(E17&gt;=1000, E17&lt;=2000), "3 Cycles", IF(E17&gt;2000, "Split Over Multiple Tubes", "Error"))))</f>
        <v>1 Cycle</v>
      </c>
    </row>
    <row r="18" spans="1:9">
      <c r="A18" s="28" t="s">
        <v>29</v>
      </c>
      <c r="B18" s="5" t="s">
        <v>5</v>
      </c>
      <c r="C18" s="28">
        <v>20</v>
      </c>
      <c r="D18" s="5" t="s">
        <v>4</v>
      </c>
      <c r="E18" s="5">
        <f t="shared" si="0"/>
        <v>600</v>
      </c>
      <c r="F18" s="5" t="str">
        <f t="shared" si="1"/>
        <v>Yes</v>
      </c>
      <c r="G18" s="8"/>
      <c r="H18" s="3"/>
      <c r="I18" s="5" t="str">
        <f t="shared" si="2"/>
        <v>2 Cycles</v>
      </c>
    </row>
    <row r="19" spans="1:9">
      <c r="A19" s="28" t="s">
        <v>30</v>
      </c>
      <c r="B19" s="5" t="s">
        <v>5</v>
      </c>
      <c r="C19" s="28">
        <v>34</v>
      </c>
      <c r="D19" s="5" t="s">
        <v>4</v>
      </c>
      <c r="E19" s="5">
        <f t="shared" si="0"/>
        <v>1020</v>
      </c>
      <c r="F19" s="5" t="str">
        <f t="shared" si="1"/>
        <v>Yes</v>
      </c>
      <c r="G19" s="8"/>
      <c r="H19" s="3"/>
      <c r="I19" s="5" t="str">
        <f t="shared" si="2"/>
        <v>3 Cycles</v>
      </c>
    </row>
    <row r="20" spans="1:9">
      <c r="A20" s="28" t="s">
        <v>31</v>
      </c>
      <c r="B20" s="5" t="s">
        <v>5</v>
      </c>
      <c r="C20" s="28">
        <v>15</v>
      </c>
      <c r="D20" s="5" t="s">
        <v>4</v>
      </c>
      <c r="E20" s="5">
        <f t="shared" si="0"/>
        <v>450</v>
      </c>
      <c r="F20" s="5" t="str">
        <f t="shared" si="1"/>
        <v>No</v>
      </c>
      <c r="G20" s="8"/>
      <c r="H20" s="3"/>
      <c r="I20" s="5" t="str">
        <f t="shared" si="2"/>
        <v>1 Cycle</v>
      </c>
    </row>
    <row r="21" spans="1:9">
      <c r="A21" s="28" t="s">
        <v>32</v>
      </c>
      <c r="B21" s="5" t="s">
        <v>5</v>
      </c>
      <c r="C21" s="28">
        <v>10</v>
      </c>
      <c r="D21" s="5" t="s">
        <v>4</v>
      </c>
      <c r="E21" s="5">
        <f t="shared" si="0"/>
        <v>300</v>
      </c>
      <c r="F21" s="5" t="str">
        <f t="shared" si="1"/>
        <v>No</v>
      </c>
      <c r="G21" s="8"/>
      <c r="H21" s="3"/>
      <c r="I21" s="5" t="str">
        <f t="shared" si="2"/>
        <v>1 Cycle</v>
      </c>
    </row>
    <row r="22" spans="1:9">
      <c r="A22" s="28" t="s">
        <v>33</v>
      </c>
      <c r="B22" s="5" t="s">
        <v>5</v>
      </c>
      <c r="C22" s="28">
        <v>5</v>
      </c>
      <c r="D22" s="5" t="s">
        <v>4</v>
      </c>
      <c r="E22" s="5">
        <f t="shared" si="0"/>
        <v>150</v>
      </c>
      <c r="F22" s="5" t="str">
        <f t="shared" si="1"/>
        <v>No</v>
      </c>
      <c r="G22" s="15"/>
      <c r="H22" s="15"/>
      <c r="I22" s="5" t="str">
        <f t="shared" si="2"/>
        <v>1 Cycle</v>
      </c>
    </row>
    <row r="23" spans="1:9">
      <c r="A23" s="28" t="s">
        <v>34</v>
      </c>
      <c r="B23" s="5" t="s">
        <v>5</v>
      </c>
      <c r="C23" s="28">
        <v>67</v>
      </c>
      <c r="D23" s="5" t="s">
        <v>4</v>
      </c>
      <c r="E23" s="5">
        <f t="shared" si="0"/>
        <v>2010</v>
      </c>
      <c r="F23" s="5" t="str">
        <f t="shared" si="1"/>
        <v>Yes</v>
      </c>
      <c r="G23" s="15"/>
      <c r="H23" s="15"/>
      <c r="I23" s="5" t="str">
        <f t="shared" si="2"/>
        <v>Split Over Multiple Tubes</v>
      </c>
    </row>
    <row r="24" spans="1:9" s="1" customFormat="1">
      <c r="A24" s="16"/>
      <c r="B24" s="16"/>
      <c r="C24" s="16"/>
      <c r="D24" s="16"/>
      <c r="E24" s="16"/>
      <c r="F24" s="16"/>
      <c r="G24" s="16"/>
      <c r="H24" s="16"/>
      <c r="I24" s="16"/>
    </row>
    <row r="25" spans="1:9" s="1" customFormat="1">
      <c r="A25" s="16"/>
      <c r="B25" s="16"/>
      <c r="C25" s="16"/>
      <c r="D25" s="16"/>
      <c r="E25" s="16"/>
      <c r="F25" s="16"/>
      <c r="G25" s="16"/>
      <c r="H25" s="16"/>
      <c r="I25" s="16"/>
    </row>
    <row r="26" spans="1:9" s="45" customFormat="1" ht="21">
      <c r="A26" s="44" t="s">
        <v>70</v>
      </c>
    </row>
    <row r="27" spans="1:9">
      <c r="A27" s="42" t="s">
        <v>45</v>
      </c>
      <c r="B27" s="43"/>
      <c r="C27" s="43"/>
      <c r="D27" s="84">
        <v>50</v>
      </c>
      <c r="E27" s="15"/>
      <c r="F27" s="15"/>
      <c r="G27" s="15"/>
      <c r="H27" s="15"/>
      <c r="I27" s="15"/>
    </row>
    <row r="28" spans="1:9">
      <c r="A28" s="15"/>
      <c r="B28" s="15"/>
      <c r="C28" s="15"/>
      <c r="D28" s="15"/>
      <c r="E28" s="15"/>
      <c r="F28" s="15"/>
      <c r="G28" s="15"/>
      <c r="H28" s="15"/>
      <c r="I28" s="15"/>
    </row>
    <row r="29" spans="1:9" ht="34" customHeight="1">
      <c r="A29" s="41" t="s">
        <v>1</v>
      </c>
      <c r="B29" s="41" t="s">
        <v>2</v>
      </c>
      <c r="C29" s="41" t="s">
        <v>3</v>
      </c>
      <c r="D29" s="41" t="s">
        <v>0</v>
      </c>
      <c r="E29" s="41" t="s">
        <v>144</v>
      </c>
      <c r="F29" s="41" t="s">
        <v>25</v>
      </c>
      <c r="G29" s="41" t="s">
        <v>24</v>
      </c>
      <c r="H29" s="4"/>
      <c r="I29" s="3"/>
    </row>
    <row r="30" spans="1:9">
      <c r="A30" s="28" t="str">
        <f t="shared" ref="A30:A37" si="3">A16</f>
        <v>Sample A</v>
      </c>
      <c r="B30" s="5" t="s">
        <v>5</v>
      </c>
      <c r="C30" s="28">
        <v>3.69</v>
      </c>
      <c r="D30" s="5" t="s">
        <v>4</v>
      </c>
      <c r="E30" s="5">
        <f>C30*7</f>
        <v>25.83</v>
      </c>
      <c r="F30" s="17">
        <f>E30/$D$27</f>
        <v>0.51659999999999995</v>
      </c>
      <c r="G30" s="5" t="str">
        <f>IF(F30&gt;0.15,"PASS","FAIL")</f>
        <v>PASS</v>
      </c>
      <c r="H30" s="3"/>
      <c r="I30" s="3"/>
    </row>
    <row r="31" spans="1:9">
      <c r="A31" s="28" t="str">
        <f t="shared" si="3"/>
        <v>Sample B</v>
      </c>
      <c r="B31" s="5" t="s">
        <v>5</v>
      </c>
      <c r="C31" s="28">
        <v>4.8</v>
      </c>
      <c r="D31" s="5" t="s">
        <v>4</v>
      </c>
      <c r="E31" s="5">
        <f t="shared" ref="E31:E37" si="4">C31*7</f>
        <v>33.6</v>
      </c>
      <c r="F31" s="17">
        <f t="shared" ref="F31:F37" si="5">E31/$D$27</f>
        <v>0.67200000000000004</v>
      </c>
      <c r="G31" s="5" t="str">
        <f t="shared" ref="G31:G37" si="6">IF(F31&gt;0.15,"PASS","FAIL")</f>
        <v>PASS</v>
      </c>
      <c r="H31" s="3"/>
      <c r="I31" s="3"/>
    </row>
    <row r="32" spans="1:9">
      <c r="A32" s="28" t="str">
        <f t="shared" si="3"/>
        <v>Sample C</v>
      </c>
      <c r="B32" s="5" t="s">
        <v>5</v>
      </c>
      <c r="C32" s="28">
        <v>3.21</v>
      </c>
      <c r="D32" s="5" t="s">
        <v>4</v>
      </c>
      <c r="E32" s="5">
        <f t="shared" si="4"/>
        <v>22.47</v>
      </c>
      <c r="F32" s="17">
        <f t="shared" si="5"/>
        <v>0.44939999999999997</v>
      </c>
      <c r="G32" s="5" t="str">
        <f t="shared" si="6"/>
        <v>PASS</v>
      </c>
      <c r="H32" s="8"/>
      <c r="I32" s="3"/>
    </row>
    <row r="33" spans="1:9">
      <c r="A33" s="28" t="str">
        <f t="shared" si="3"/>
        <v>Sample D</v>
      </c>
      <c r="B33" s="5" t="s">
        <v>5</v>
      </c>
      <c r="C33" s="28">
        <v>2.5099999999999998</v>
      </c>
      <c r="D33" s="5" t="s">
        <v>4</v>
      </c>
      <c r="E33" s="5">
        <f t="shared" si="4"/>
        <v>17.57</v>
      </c>
      <c r="F33" s="17">
        <f t="shared" si="5"/>
        <v>0.35139999999999999</v>
      </c>
      <c r="G33" s="5" t="str">
        <f t="shared" si="6"/>
        <v>PASS</v>
      </c>
      <c r="H33" s="8"/>
      <c r="I33" s="3"/>
    </row>
    <row r="34" spans="1:9">
      <c r="A34" s="28" t="str">
        <f t="shared" si="3"/>
        <v>Sample E</v>
      </c>
      <c r="B34" s="5" t="s">
        <v>5</v>
      </c>
      <c r="C34" s="28">
        <v>2.98</v>
      </c>
      <c r="D34" s="5" t="s">
        <v>4</v>
      </c>
      <c r="E34" s="5">
        <f t="shared" si="4"/>
        <v>20.86</v>
      </c>
      <c r="F34" s="17">
        <f t="shared" si="5"/>
        <v>0.41720000000000002</v>
      </c>
      <c r="G34" s="5" t="str">
        <f t="shared" si="6"/>
        <v>PASS</v>
      </c>
      <c r="H34" s="8"/>
      <c r="I34" s="3"/>
    </row>
    <row r="35" spans="1:9">
      <c r="A35" s="28" t="str">
        <f t="shared" si="3"/>
        <v>Sample F</v>
      </c>
      <c r="B35" s="5" t="s">
        <v>5</v>
      </c>
      <c r="C35" s="28">
        <v>3.05</v>
      </c>
      <c r="D35" s="5" t="s">
        <v>4</v>
      </c>
      <c r="E35" s="5">
        <f t="shared" si="4"/>
        <v>21.349999999999998</v>
      </c>
      <c r="F35" s="17">
        <f t="shared" si="5"/>
        <v>0.42699999999999994</v>
      </c>
      <c r="G35" s="5" t="str">
        <f>IF(F35&gt;0.15,"PASS","FAIL")</f>
        <v>PASS</v>
      </c>
      <c r="H35" s="8"/>
      <c r="I35" s="3"/>
    </row>
    <row r="36" spans="1:9">
      <c r="A36" s="28" t="str">
        <f t="shared" si="3"/>
        <v>Sample G</v>
      </c>
      <c r="B36" s="5" t="s">
        <v>5</v>
      </c>
      <c r="C36" s="28">
        <v>2.4500000000000002</v>
      </c>
      <c r="D36" s="5" t="s">
        <v>4</v>
      </c>
      <c r="E36" s="5">
        <f>C36*7</f>
        <v>17.150000000000002</v>
      </c>
      <c r="F36" s="17">
        <f t="shared" si="5"/>
        <v>0.34300000000000003</v>
      </c>
      <c r="G36" s="5" t="str">
        <f t="shared" si="6"/>
        <v>PASS</v>
      </c>
      <c r="H36" s="15"/>
      <c r="I36" s="15"/>
    </row>
    <row r="37" spans="1:9">
      <c r="A37" s="28" t="str">
        <f t="shared" si="3"/>
        <v>Sample H</v>
      </c>
      <c r="B37" s="5" t="s">
        <v>5</v>
      </c>
      <c r="C37" s="28">
        <v>3.18</v>
      </c>
      <c r="D37" s="5" t="s">
        <v>4</v>
      </c>
      <c r="E37" s="5">
        <f t="shared" si="4"/>
        <v>22.26</v>
      </c>
      <c r="F37" s="17">
        <f t="shared" si="5"/>
        <v>0.44520000000000004</v>
      </c>
      <c r="G37" s="5" t="str">
        <f t="shared" si="6"/>
        <v>PASS</v>
      </c>
      <c r="H37" s="15"/>
      <c r="I37" s="15"/>
    </row>
    <row r="38" spans="1:9">
      <c r="A38" s="15"/>
      <c r="B38" s="15"/>
      <c r="C38" s="15"/>
      <c r="D38" s="15"/>
      <c r="E38" s="15"/>
      <c r="F38" s="15"/>
      <c r="G38" s="15"/>
      <c r="H38" s="15"/>
      <c r="I38" s="15"/>
    </row>
  </sheetData>
  <mergeCells count="2">
    <mergeCell ref="A11:O11"/>
    <mergeCell ref="A12:O12"/>
  </mergeCells>
  <phoneticPr fontId="17" type="noConversion"/>
  <pageMargins left="0.7" right="0.7" top="0.75" bottom="0.75" header="0.3" footer="0.3"/>
  <pageSetup scale="63"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U49"/>
  <sheetViews>
    <sheetView workbookViewId="0">
      <selection activeCell="H12" sqref="H12"/>
    </sheetView>
  </sheetViews>
  <sheetFormatPr baseColWidth="10" defaultColWidth="11" defaultRowHeight="16"/>
  <cols>
    <col min="1" max="3" width="17.33203125" customWidth="1"/>
    <col min="4" max="4" width="9.83203125" customWidth="1"/>
    <col min="5" max="5" width="7.5" customWidth="1"/>
    <col min="6" max="6" width="8.1640625" customWidth="1"/>
    <col min="7" max="7" width="11" bestFit="1" customWidth="1"/>
    <col min="11" max="12" width="9.5" customWidth="1"/>
    <col min="17" max="17" width="12.1640625" bestFit="1" customWidth="1"/>
    <col min="18" max="18" width="13.6640625" bestFit="1" customWidth="1"/>
    <col min="19" max="19" width="12.1640625" bestFit="1" customWidth="1"/>
    <col min="20" max="20" width="21.83203125" customWidth="1"/>
    <col min="21" max="21" width="10.1640625" bestFit="1" customWidth="1"/>
  </cols>
  <sheetData>
    <row r="5" spans="1:16" ht="19">
      <c r="A5" s="31" t="s">
        <v>57</v>
      </c>
      <c r="B5" s="31"/>
      <c r="C5" s="31"/>
      <c r="D5" s="32"/>
      <c r="E5" s="32"/>
    </row>
    <row r="6" spans="1:16" s="23" customFormat="1" ht="33" customHeight="1">
      <c r="A6" s="142" t="s">
        <v>157</v>
      </c>
      <c r="B6" s="142"/>
      <c r="C6" s="142"/>
      <c r="D6" s="142"/>
      <c r="E6" s="142"/>
      <c r="F6" s="142"/>
      <c r="G6" s="142"/>
      <c r="H6" s="142"/>
      <c r="I6" s="142"/>
      <c r="J6" s="142"/>
      <c r="K6" s="142"/>
      <c r="L6" s="142"/>
      <c r="M6" s="142"/>
      <c r="N6" s="142"/>
      <c r="O6" s="142"/>
      <c r="P6" s="142"/>
    </row>
    <row r="7" spans="1:16" ht="5" customHeight="1"/>
    <row r="8" spans="1:16">
      <c r="A8" s="14" t="s">
        <v>53</v>
      </c>
      <c r="B8" s="14"/>
      <c r="C8" s="14"/>
      <c r="D8" s="15"/>
      <c r="E8" s="15"/>
      <c r="F8" s="15"/>
      <c r="G8" s="15"/>
      <c r="H8" s="15"/>
      <c r="I8" s="15"/>
      <c r="J8" s="15"/>
      <c r="K8" s="15"/>
    </row>
    <row r="9" spans="1:16" s="6" customFormat="1">
      <c r="A9" s="6" t="s">
        <v>68</v>
      </c>
    </row>
    <row r="10" spans="1:16">
      <c r="A10" s="15" t="s">
        <v>60</v>
      </c>
      <c r="B10" s="15"/>
      <c r="C10" s="15"/>
      <c r="D10" s="15"/>
      <c r="E10" s="15"/>
      <c r="F10" s="15"/>
      <c r="G10" s="15"/>
      <c r="H10" s="15"/>
      <c r="I10" s="15"/>
      <c r="J10" s="15"/>
      <c r="K10" s="15"/>
    </row>
    <row r="11" spans="1:16">
      <c r="A11" t="s">
        <v>61</v>
      </c>
    </row>
    <row r="12" spans="1:16" s="1" customFormat="1">
      <c r="A12" s="16" t="s">
        <v>145</v>
      </c>
      <c r="B12" s="16"/>
      <c r="C12" s="16"/>
      <c r="D12" s="16"/>
      <c r="E12" s="16"/>
      <c r="F12" s="16"/>
      <c r="G12" s="16"/>
      <c r="H12" s="16"/>
      <c r="I12" s="16"/>
      <c r="J12" s="16"/>
      <c r="K12" s="16"/>
    </row>
    <row r="13" spans="1:16">
      <c r="A13" t="s">
        <v>44</v>
      </c>
    </row>
    <row r="14" spans="1:16">
      <c r="A14" t="s">
        <v>63</v>
      </c>
    </row>
    <row r="15" spans="1:16" s="1" customFormat="1" ht="33" customHeight="1">
      <c r="A15" s="143" t="s">
        <v>146</v>
      </c>
      <c r="B15" s="143"/>
      <c r="C15" s="143"/>
      <c r="D15" s="143"/>
      <c r="E15" s="143"/>
      <c r="F15" s="143"/>
      <c r="G15" s="143"/>
      <c r="H15" s="143"/>
      <c r="I15" s="143"/>
      <c r="J15" s="143"/>
      <c r="K15" s="143"/>
      <c r="L15" s="143"/>
      <c r="M15" s="143"/>
      <c r="N15" s="143"/>
      <c r="O15" s="143"/>
      <c r="P15" s="143"/>
    </row>
    <row r="16" spans="1:16" s="1" customFormat="1" ht="31" customHeight="1">
      <c r="A16" s="143" t="s">
        <v>62</v>
      </c>
      <c r="B16" s="143"/>
      <c r="C16" s="143"/>
      <c r="D16" s="143"/>
      <c r="E16" s="143"/>
      <c r="F16" s="143"/>
      <c r="G16" s="143"/>
      <c r="H16" s="143"/>
      <c r="I16" s="143"/>
      <c r="J16" s="143"/>
      <c r="K16" s="143"/>
      <c r="L16" s="143"/>
      <c r="M16" s="143"/>
      <c r="N16" s="143"/>
      <c r="O16" s="143"/>
      <c r="P16" s="143"/>
    </row>
    <row r="17" spans="1:10" s="1" customFormat="1"/>
    <row r="18" spans="1:10" ht="21">
      <c r="A18" s="36" t="s">
        <v>59</v>
      </c>
      <c r="B18" s="36"/>
      <c r="C18" s="36"/>
    </row>
    <row r="19" spans="1:10">
      <c r="A19" s="14"/>
      <c r="B19" s="14"/>
      <c r="C19" s="14"/>
    </row>
    <row r="20" spans="1:10">
      <c r="A20" s="39" t="s">
        <v>1</v>
      </c>
      <c r="B20" s="39" t="s">
        <v>37</v>
      </c>
      <c r="C20" s="39" t="s">
        <v>38</v>
      </c>
      <c r="D20" s="39" t="s">
        <v>39</v>
      </c>
      <c r="E20" s="39" t="s">
        <v>40</v>
      </c>
      <c r="F20" s="39" t="s">
        <v>41</v>
      </c>
      <c r="G20" s="39" t="s">
        <v>7</v>
      </c>
      <c r="H20" s="39" t="s">
        <v>8</v>
      </c>
      <c r="I20" s="39" t="s">
        <v>42</v>
      </c>
      <c r="J20" s="7"/>
    </row>
    <row r="21" spans="1:10">
      <c r="A21" s="24" t="s">
        <v>46</v>
      </c>
      <c r="B21" s="26">
        <v>9.66</v>
      </c>
      <c r="C21" s="26">
        <v>9.69</v>
      </c>
      <c r="D21" s="26">
        <v>9.2899999999999991</v>
      </c>
      <c r="E21" s="19">
        <f>AVERAGE(B21:D21)</f>
        <v>9.5466666666666669</v>
      </c>
      <c r="F21" s="19">
        <f>STDEV(B21:D21)</f>
        <v>0.22278539748675966</v>
      </c>
      <c r="G21" s="19">
        <v>20</v>
      </c>
      <c r="H21" s="19">
        <f>IFERROR((LOG10(G21)),"-")</f>
        <v>1.3010299956639813</v>
      </c>
      <c r="I21" s="19" t="s">
        <v>54</v>
      </c>
    </row>
    <row r="22" spans="1:10">
      <c r="A22" s="24" t="s">
        <v>47</v>
      </c>
      <c r="B22" s="26">
        <v>12.61</v>
      </c>
      <c r="C22" s="26">
        <v>12.7</v>
      </c>
      <c r="D22" s="26">
        <v>12.61</v>
      </c>
      <c r="E22" s="19">
        <f t="shared" ref="E22:E27" si="0">AVERAGE(B22:D22)</f>
        <v>12.64</v>
      </c>
      <c r="F22" s="19">
        <f t="shared" ref="F22:F27" si="1">STDEV(B22:D22)</f>
        <v>5.1961524227066236E-2</v>
      </c>
      <c r="G22" s="19">
        <v>2</v>
      </c>
      <c r="H22" s="19">
        <f t="shared" ref="H22:H27" si="2">IFERROR((LOG10(G22)),"-")</f>
        <v>0.3010299956639812</v>
      </c>
      <c r="I22" s="19">
        <f>E22-E21</f>
        <v>3.0933333333333337</v>
      </c>
    </row>
    <row r="23" spans="1:10">
      <c r="A23" s="24" t="s">
        <v>48</v>
      </c>
      <c r="B23" s="26">
        <v>16.07</v>
      </c>
      <c r="C23" s="26">
        <v>15.84</v>
      </c>
      <c r="D23" s="26">
        <v>15.97</v>
      </c>
      <c r="E23" s="19">
        <f t="shared" si="0"/>
        <v>15.96</v>
      </c>
      <c r="F23" s="19">
        <f t="shared" si="1"/>
        <v>0.1153256259467082</v>
      </c>
      <c r="G23" s="19">
        <v>0.2</v>
      </c>
      <c r="H23" s="19">
        <f t="shared" si="2"/>
        <v>-0.69897000433601875</v>
      </c>
      <c r="I23" s="19">
        <f t="shared" ref="I23:I26" si="3">E23-E22</f>
        <v>3.3200000000000003</v>
      </c>
    </row>
    <row r="24" spans="1:10">
      <c r="A24" s="24" t="s">
        <v>49</v>
      </c>
      <c r="B24" s="26">
        <v>19.309999999999999</v>
      </c>
      <c r="C24" s="26">
        <v>19.43</v>
      </c>
      <c r="D24" s="26">
        <v>19.5</v>
      </c>
      <c r="E24" s="19">
        <f t="shared" si="0"/>
        <v>19.41333333333333</v>
      </c>
      <c r="F24" s="19">
        <f t="shared" si="1"/>
        <v>9.6090235369331159E-2</v>
      </c>
      <c r="G24" s="19">
        <v>0.02</v>
      </c>
      <c r="H24" s="19">
        <f t="shared" si="2"/>
        <v>-1.6989700043360187</v>
      </c>
      <c r="I24" s="19">
        <f t="shared" si="3"/>
        <v>3.4533333333333296</v>
      </c>
    </row>
    <row r="25" spans="1:10">
      <c r="A25" s="24" t="s">
        <v>50</v>
      </c>
      <c r="B25" s="26">
        <v>23.2</v>
      </c>
      <c r="C25" s="26">
        <v>23.12</v>
      </c>
      <c r="D25" s="26">
        <v>22.5</v>
      </c>
      <c r="E25" s="19">
        <f t="shared" si="0"/>
        <v>22.939999999999998</v>
      </c>
      <c r="F25" s="19">
        <f t="shared" si="1"/>
        <v>0.38314488121336032</v>
      </c>
      <c r="G25" s="19">
        <v>2E-3</v>
      </c>
      <c r="H25" s="19">
        <f t="shared" si="2"/>
        <v>-2.6989700043360187</v>
      </c>
      <c r="I25" s="19">
        <f t="shared" si="3"/>
        <v>3.5266666666666673</v>
      </c>
    </row>
    <row r="26" spans="1:10">
      <c r="A26" s="24" t="s">
        <v>51</v>
      </c>
      <c r="B26" s="26">
        <v>25.97</v>
      </c>
      <c r="C26" s="26">
        <v>26.17</v>
      </c>
      <c r="D26" s="26">
        <v>26.18</v>
      </c>
      <c r="E26" s="19">
        <f t="shared" si="0"/>
        <v>26.106666666666666</v>
      </c>
      <c r="F26" s="19">
        <f t="shared" si="1"/>
        <v>0.11846237095944676</v>
      </c>
      <c r="G26" s="19">
        <v>2.0000000000000001E-4</v>
      </c>
      <c r="H26" s="19">
        <f t="shared" si="2"/>
        <v>-3.6989700043360187</v>
      </c>
      <c r="I26" s="19">
        <f t="shared" si="3"/>
        <v>3.1666666666666679</v>
      </c>
    </row>
    <row r="27" spans="1:10">
      <c r="A27" s="24" t="s">
        <v>52</v>
      </c>
      <c r="B27" s="27">
        <v>30</v>
      </c>
      <c r="C27" s="27">
        <v>30</v>
      </c>
      <c r="D27" s="27">
        <v>30</v>
      </c>
      <c r="E27" s="19">
        <f t="shared" si="0"/>
        <v>30</v>
      </c>
      <c r="F27" s="19">
        <f t="shared" si="1"/>
        <v>0</v>
      </c>
      <c r="G27" s="19">
        <v>0</v>
      </c>
      <c r="H27" s="19" t="str">
        <f t="shared" si="2"/>
        <v>-</v>
      </c>
      <c r="I27" s="19" t="s">
        <v>55</v>
      </c>
    </row>
    <row r="29" spans="1:10">
      <c r="A29" s="40" t="s">
        <v>9</v>
      </c>
      <c r="B29" s="18">
        <f>SLOPE(E20:E26,H20:H26)</f>
        <v>-3.3472380952380947</v>
      </c>
    </row>
    <row r="30" spans="1:10">
      <c r="A30" s="40" t="s">
        <v>10</v>
      </c>
      <c r="B30" s="18">
        <f>INTERCEPT(E20:E26,H20:H26)</f>
        <v>13.754539704216471</v>
      </c>
    </row>
    <row r="32" spans="1:10">
      <c r="A32" s="22" t="s">
        <v>43</v>
      </c>
      <c r="B32" s="22"/>
      <c r="C32" s="22"/>
      <c r="D32" s="23"/>
      <c r="E32" s="23"/>
      <c r="F32" s="35">
        <v>20</v>
      </c>
      <c r="G32" s="23" t="s">
        <v>6</v>
      </c>
    </row>
    <row r="33" spans="1:21">
      <c r="A33" s="22" t="s">
        <v>64</v>
      </c>
      <c r="B33" s="22"/>
      <c r="C33" s="22"/>
      <c r="D33" s="23"/>
      <c r="E33" s="23"/>
      <c r="F33" s="23">
        <v>25</v>
      </c>
      <c r="G33" s="23" t="s">
        <v>6</v>
      </c>
    </row>
    <row r="34" spans="1:21">
      <c r="A34" s="22" t="s">
        <v>11</v>
      </c>
      <c r="B34" s="22"/>
      <c r="C34" s="22"/>
      <c r="D34" s="23"/>
      <c r="E34" s="23"/>
      <c r="F34" s="23">
        <v>0.75</v>
      </c>
      <c r="G34" s="23" t="s">
        <v>12</v>
      </c>
    </row>
    <row r="35" spans="1:21">
      <c r="A35" s="22" t="s">
        <v>65</v>
      </c>
      <c r="B35" s="22"/>
      <c r="C35" s="22"/>
      <c r="D35" s="23"/>
      <c r="E35" s="23"/>
      <c r="F35" s="23">
        <v>0.5</v>
      </c>
      <c r="G35" s="23" t="s">
        <v>12</v>
      </c>
    </row>
    <row r="38" spans="1:21" ht="21">
      <c r="A38" s="36" t="s">
        <v>26</v>
      </c>
      <c r="B38" s="36"/>
      <c r="C38" s="36"/>
    </row>
    <row r="39" spans="1:21">
      <c r="A39" s="14"/>
      <c r="B39" s="14"/>
      <c r="C39" s="14"/>
    </row>
    <row r="40" spans="1:21" s="21" customFormat="1" ht="33" customHeight="1">
      <c r="A40" s="39" t="s">
        <v>1</v>
      </c>
      <c r="B40" s="98" t="s">
        <v>109</v>
      </c>
      <c r="C40" s="99" t="s">
        <v>120</v>
      </c>
      <c r="D40" s="39" t="s">
        <v>13</v>
      </c>
      <c r="E40" s="39" t="s">
        <v>37</v>
      </c>
      <c r="F40" s="39" t="s">
        <v>38</v>
      </c>
      <c r="G40" s="39" t="s">
        <v>39</v>
      </c>
      <c r="H40" s="39" t="s">
        <v>40</v>
      </c>
      <c r="I40" s="39" t="s">
        <v>41</v>
      </c>
      <c r="J40" s="39" t="s">
        <v>14</v>
      </c>
      <c r="K40" s="39" t="s">
        <v>15</v>
      </c>
      <c r="L40" s="39" t="s">
        <v>16</v>
      </c>
      <c r="M40" s="39" t="s">
        <v>17</v>
      </c>
      <c r="N40" s="39" t="s">
        <v>18</v>
      </c>
      <c r="O40" s="39" t="s">
        <v>19</v>
      </c>
      <c r="P40" s="39" t="s">
        <v>20</v>
      </c>
      <c r="Q40" s="39" t="s">
        <v>21</v>
      </c>
      <c r="R40" s="39" t="s">
        <v>22</v>
      </c>
      <c r="S40" s="39" t="s">
        <v>23</v>
      </c>
      <c r="T40" s="41" t="s">
        <v>69</v>
      </c>
      <c r="U40" s="39" t="s">
        <v>35</v>
      </c>
    </row>
    <row r="41" spans="1:21">
      <c r="A41" s="28" t="s">
        <v>27</v>
      </c>
      <c r="B41" s="100" t="str">
        <f>IF(U41&gt;0.002,"PASS","ALERT")</f>
        <v>PASS</v>
      </c>
      <c r="C41" s="101" t="str">
        <f>IF(P41&lt;16,"PASS","FAIL")</f>
        <v>PASS</v>
      </c>
      <c r="D41" s="9">
        <v>1000</v>
      </c>
      <c r="E41" s="106">
        <v>16.579999999999998</v>
      </c>
      <c r="F41" s="107">
        <v>16.64</v>
      </c>
      <c r="G41" s="107">
        <v>16.72</v>
      </c>
      <c r="H41" s="20">
        <f>AVERAGE(E41:G41)</f>
        <v>16.646666666666665</v>
      </c>
      <c r="I41" s="20">
        <f>STDEV(E41:G41)</f>
        <v>7.0237691685685125E-2</v>
      </c>
      <c r="J41" s="25">
        <f t="shared" ref="J41:J48" si="4">(H41-$B$30)/$B$29</f>
        <v>-0.86403383331608252</v>
      </c>
      <c r="K41" s="9">
        <v>550</v>
      </c>
      <c r="L41" s="20">
        <f>10^J41*(452/K41)*D41/1000</f>
        <v>0.11239368539838028</v>
      </c>
      <c r="M41" s="10">
        <f>660*K41</f>
        <v>363000</v>
      </c>
      <c r="N41" s="20">
        <f>((L41*0.000000001)*M41*0.000001)*1000000000</f>
        <v>4.0798907799612039E-2</v>
      </c>
      <c r="O41" s="20">
        <f t="shared" ref="O41:O48" si="5">$F$32*N41</f>
        <v>0.81597815599224077</v>
      </c>
      <c r="P41" s="29">
        <v>9</v>
      </c>
      <c r="Q41" s="20">
        <f t="shared" ref="Q41:Q48" si="6">(O41*(1+$F$34)^P41)*(1-$F$35)</f>
        <v>62.804530768386037</v>
      </c>
      <c r="R41" s="20">
        <f t="shared" ref="R41:R48" si="7">(Q41/$F$33)</f>
        <v>2.5121812307354414</v>
      </c>
      <c r="S41" s="20">
        <f>(R41*(0.001)/M41)*1000000000</f>
        <v>6.9206094510618223</v>
      </c>
      <c r="T41" s="30">
        <v>200</v>
      </c>
      <c r="U41" s="12">
        <f>O41/T41</f>
        <v>4.0798907799612042E-3</v>
      </c>
    </row>
    <row r="42" spans="1:21">
      <c r="A42" s="28" t="s">
        <v>28</v>
      </c>
      <c r="B42" s="100" t="str">
        <f t="shared" ref="B42:B48" si="8">IF(U42&gt;0.002,"PASS","ALERT")</f>
        <v>PASS</v>
      </c>
      <c r="C42" s="101" t="str">
        <f t="shared" ref="C42:C48" si="9">IF(P42&lt;16,"PASS","FAIL")</f>
        <v>PASS</v>
      </c>
      <c r="D42" s="9">
        <v>1000</v>
      </c>
      <c r="E42" s="108">
        <v>17.22</v>
      </c>
      <c r="F42" s="109">
        <v>17.399999999999999</v>
      </c>
      <c r="G42" s="109">
        <v>17</v>
      </c>
      <c r="H42" s="20">
        <f t="shared" ref="H42:H48" si="10">AVERAGE(E42:G42)</f>
        <v>17.206666666666667</v>
      </c>
      <c r="I42" s="20">
        <f t="shared" ref="I42:I48" si="11">STDEV(E42:G42)</f>
        <v>0.20033305601755555</v>
      </c>
      <c r="J42" s="25">
        <f t="shared" si="4"/>
        <v>-1.0313359445093913</v>
      </c>
      <c r="K42" s="9">
        <v>550</v>
      </c>
      <c r="L42" s="20">
        <f t="shared" ref="L42:L48" si="12">10^J42*(452/K42)*D42/1000</f>
        <v>7.6460969566606862E-2</v>
      </c>
      <c r="M42" s="10">
        <f t="shared" ref="M42:M48" si="13">660*K42</f>
        <v>363000</v>
      </c>
      <c r="N42" s="20">
        <f t="shared" ref="N42:N48" si="14">((L42*0.000000001)*M42*0.000001)*1000000000</f>
        <v>2.7755331952678288E-2</v>
      </c>
      <c r="O42" s="20">
        <f t="shared" si="5"/>
        <v>0.55510663905356572</v>
      </c>
      <c r="P42" s="29">
        <v>9</v>
      </c>
      <c r="Q42" s="20">
        <f t="shared" si="6"/>
        <v>42.725668250004659</v>
      </c>
      <c r="R42" s="20">
        <f t="shared" si="7"/>
        <v>1.7090267300001865</v>
      </c>
      <c r="S42" s="20">
        <f t="shared" ref="S42:S48" si="15">(R42*(0.001)/M42)*1000000000</f>
        <v>4.7080626170804036</v>
      </c>
      <c r="T42" s="30">
        <v>200</v>
      </c>
      <c r="U42" s="12">
        <f t="shared" ref="U42:U48" si="16">O42/T42</f>
        <v>2.7755331952678285E-3</v>
      </c>
    </row>
    <row r="43" spans="1:21">
      <c r="A43" s="28" t="s">
        <v>29</v>
      </c>
      <c r="B43" s="100" t="str">
        <f t="shared" si="8"/>
        <v>PASS</v>
      </c>
      <c r="C43" s="101" t="str">
        <f t="shared" si="9"/>
        <v>PASS</v>
      </c>
      <c r="D43" s="9">
        <v>1000</v>
      </c>
      <c r="E43" s="108">
        <v>18.649999999999999</v>
      </c>
      <c r="F43" s="109">
        <v>18.690000000000001</v>
      </c>
      <c r="G43" s="109">
        <v>18.62</v>
      </c>
      <c r="H43" s="20">
        <f t="shared" si="10"/>
        <v>18.653333333333336</v>
      </c>
      <c r="I43" s="20">
        <f t="shared" si="11"/>
        <v>3.5118845842842729E-2</v>
      </c>
      <c r="J43" s="25">
        <f t="shared" si="4"/>
        <v>-1.4635330650921041</v>
      </c>
      <c r="K43" s="9">
        <v>550</v>
      </c>
      <c r="L43" s="20">
        <f t="shared" si="12"/>
        <v>2.826458935989476E-2</v>
      </c>
      <c r="M43" s="10">
        <f t="shared" si="13"/>
        <v>363000</v>
      </c>
      <c r="N43" s="20">
        <f t="shared" si="14"/>
        <v>1.02600459376418E-2</v>
      </c>
      <c r="O43" s="20">
        <f t="shared" si="5"/>
        <v>0.205200918752836</v>
      </c>
      <c r="P43" s="29">
        <v>11</v>
      </c>
      <c r="Q43" s="20">
        <f t="shared" si="6"/>
        <v>48.369081537503341</v>
      </c>
      <c r="R43" s="20">
        <f t="shared" si="7"/>
        <v>1.9347632615001336</v>
      </c>
      <c r="S43" s="20">
        <f t="shared" si="15"/>
        <v>5.3299263402207533</v>
      </c>
      <c r="T43" s="30">
        <v>77</v>
      </c>
      <c r="U43" s="12">
        <f t="shared" si="16"/>
        <v>2.6649469967900781E-3</v>
      </c>
    </row>
    <row r="44" spans="1:21">
      <c r="A44" s="28" t="s">
        <v>30</v>
      </c>
      <c r="B44" s="100" t="str">
        <f t="shared" si="8"/>
        <v>PASS</v>
      </c>
      <c r="C44" s="101" t="str">
        <f t="shared" si="9"/>
        <v>PASS</v>
      </c>
      <c r="D44" s="9">
        <v>1000</v>
      </c>
      <c r="E44" s="27">
        <v>11.86</v>
      </c>
      <c r="F44" s="27">
        <v>11.96</v>
      </c>
      <c r="G44" s="27">
        <v>11.75</v>
      </c>
      <c r="H44" s="20">
        <f t="shared" si="10"/>
        <v>11.856666666666667</v>
      </c>
      <c r="I44" s="20">
        <f t="shared" si="11"/>
        <v>0.10503967504392528</v>
      </c>
      <c r="J44" s="25">
        <f t="shared" si="4"/>
        <v>0.56699672492667574</v>
      </c>
      <c r="K44" s="9">
        <v>550</v>
      </c>
      <c r="L44" s="20">
        <f t="shared" si="12"/>
        <v>3.0323021247996489</v>
      </c>
      <c r="M44" s="10">
        <f t="shared" si="13"/>
        <v>363000</v>
      </c>
      <c r="N44" s="20">
        <f t="shared" si="14"/>
        <v>1.1007256713022728</v>
      </c>
      <c r="O44" s="20">
        <f t="shared" si="5"/>
        <v>22.014513426045458</v>
      </c>
      <c r="P44" s="29">
        <v>4</v>
      </c>
      <c r="Q44" s="20">
        <f t="shared" si="6"/>
        <v>103.23602878112332</v>
      </c>
      <c r="R44" s="20">
        <f t="shared" si="7"/>
        <v>4.1294411512449329</v>
      </c>
      <c r="S44" s="20">
        <f t="shared" si="15"/>
        <v>11.375870940068687</v>
      </c>
      <c r="T44" s="30">
        <v>250</v>
      </c>
      <c r="U44" s="12">
        <f t="shared" si="16"/>
        <v>8.8058053704181835E-2</v>
      </c>
    </row>
    <row r="45" spans="1:21">
      <c r="A45" s="28" t="s">
        <v>31</v>
      </c>
      <c r="B45" s="100" t="str">
        <f t="shared" si="8"/>
        <v>PASS</v>
      </c>
      <c r="C45" s="101" t="str">
        <f t="shared" si="9"/>
        <v>PASS</v>
      </c>
      <c r="D45" s="9">
        <v>1000</v>
      </c>
      <c r="E45" s="27">
        <v>13.86</v>
      </c>
      <c r="F45" s="27">
        <v>14.17</v>
      </c>
      <c r="G45" s="27">
        <v>14.31</v>
      </c>
      <c r="H45" s="20">
        <f t="shared" si="10"/>
        <v>14.113333333333335</v>
      </c>
      <c r="I45" s="20">
        <f t="shared" si="11"/>
        <v>0.23028967265887884</v>
      </c>
      <c r="J45" s="25">
        <f t="shared" si="4"/>
        <v>-0.10719094934635723</v>
      </c>
      <c r="K45" s="9">
        <v>550</v>
      </c>
      <c r="L45" s="20">
        <f t="shared" si="12"/>
        <v>0.64207357409579968</v>
      </c>
      <c r="M45" s="10">
        <f t="shared" si="13"/>
        <v>363000</v>
      </c>
      <c r="N45" s="20">
        <f t="shared" si="14"/>
        <v>0.23307270739677527</v>
      </c>
      <c r="O45" s="20">
        <f t="shared" si="5"/>
        <v>4.6614541479355056</v>
      </c>
      <c r="P45" s="29">
        <v>7</v>
      </c>
      <c r="Q45" s="20">
        <f t="shared" si="6"/>
        <v>117.1541727707901</v>
      </c>
      <c r="R45" s="20">
        <f t="shared" si="7"/>
        <v>4.686166910831604</v>
      </c>
      <c r="S45" s="20">
        <f t="shared" si="15"/>
        <v>12.909550718544363</v>
      </c>
      <c r="T45" s="30">
        <v>250</v>
      </c>
      <c r="U45" s="12">
        <f t="shared" si="16"/>
        <v>1.8645816591742023E-2</v>
      </c>
    </row>
    <row r="46" spans="1:21">
      <c r="A46" s="28" t="s">
        <v>32</v>
      </c>
      <c r="B46" s="100" t="str">
        <f t="shared" si="8"/>
        <v>PASS</v>
      </c>
      <c r="C46" s="101" t="str">
        <f t="shared" si="9"/>
        <v>PASS</v>
      </c>
      <c r="D46" s="9">
        <v>1000</v>
      </c>
      <c r="E46" s="27">
        <v>14.32</v>
      </c>
      <c r="F46" s="27">
        <v>14.16</v>
      </c>
      <c r="G46" s="27">
        <v>14.38</v>
      </c>
      <c r="H46" s="20">
        <f t="shared" si="10"/>
        <v>14.286666666666667</v>
      </c>
      <c r="I46" s="20">
        <f t="shared" si="11"/>
        <v>0.11372481406154682</v>
      </c>
      <c r="J46" s="25">
        <f t="shared" si="4"/>
        <v>-0.15897493614428548</v>
      </c>
      <c r="K46" s="9">
        <v>550</v>
      </c>
      <c r="L46" s="20">
        <f t="shared" si="12"/>
        <v>0.56990282421562544</v>
      </c>
      <c r="M46" s="10">
        <f t="shared" si="13"/>
        <v>363000</v>
      </c>
      <c r="N46" s="20">
        <f t="shared" si="14"/>
        <v>0.20687472519027206</v>
      </c>
      <c r="O46" s="20">
        <f t="shared" si="5"/>
        <v>4.1374945038054411</v>
      </c>
      <c r="P46" s="29">
        <v>7</v>
      </c>
      <c r="Q46" s="20">
        <f t="shared" si="6"/>
        <v>103.98573718711684</v>
      </c>
      <c r="R46" s="20">
        <f t="shared" si="7"/>
        <v>4.1594294874846733</v>
      </c>
      <c r="S46" s="20">
        <f t="shared" si="15"/>
        <v>11.458483436596897</v>
      </c>
      <c r="T46" s="30">
        <v>250</v>
      </c>
      <c r="U46" s="12">
        <f t="shared" si="16"/>
        <v>1.6549978015221765E-2</v>
      </c>
    </row>
    <row r="47" spans="1:21">
      <c r="A47" s="28" t="s">
        <v>33</v>
      </c>
      <c r="B47" s="100" t="str">
        <f t="shared" si="8"/>
        <v>ALERT</v>
      </c>
      <c r="C47" s="101" t="str">
        <f t="shared" si="9"/>
        <v>PASS</v>
      </c>
      <c r="D47" s="9">
        <v>1000</v>
      </c>
      <c r="E47" s="27">
        <v>27</v>
      </c>
      <c r="F47" s="27">
        <v>27</v>
      </c>
      <c r="G47" s="27">
        <v>28</v>
      </c>
      <c r="H47" s="20">
        <f t="shared" si="10"/>
        <v>27.333333333333332</v>
      </c>
      <c r="I47" s="20">
        <f t="shared" si="11"/>
        <v>0.57735026918962584</v>
      </c>
      <c r="J47" s="25">
        <f t="shared" si="4"/>
        <v>-4.0567157885883764</v>
      </c>
      <c r="K47" s="9">
        <v>550</v>
      </c>
      <c r="L47" s="20">
        <f t="shared" si="12"/>
        <v>7.2120703888698841E-5</v>
      </c>
      <c r="M47" s="10">
        <f t="shared" si="13"/>
        <v>363000</v>
      </c>
      <c r="N47" s="20">
        <f t="shared" si="14"/>
        <v>2.6179815511597679E-5</v>
      </c>
      <c r="O47" s="20">
        <f t="shared" si="5"/>
        <v>5.235963102319536E-4</v>
      </c>
      <c r="P47" s="29">
        <v>7</v>
      </c>
      <c r="Q47" s="20">
        <f t="shared" si="6"/>
        <v>1.3159304080729791E-2</v>
      </c>
      <c r="R47" s="20">
        <f t="shared" si="7"/>
        <v>5.2637216322919166E-4</v>
      </c>
      <c r="S47" s="20">
        <f t="shared" si="15"/>
        <v>1.4500610557278007E-3</v>
      </c>
      <c r="T47" s="30">
        <v>250</v>
      </c>
      <c r="U47" s="12">
        <f t="shared" si="16"/>
        <v>2.0943852409278145E-6</v>
      </c>
    </row>
    <row r="48" spans="1:21">
      <c r="A48" s="28" t="s">
        <v>34</v>
      </c>
      <c r="B48" s="100" t="str">
        <f t="shared" si="8"/>
        <v>PASS</v>
      </c>
      <c r="C48" s="101" t="str">
        <f t="shared" si="9"/>
        <v>PASS</v>
      </c>
      <c r="D48" s="9">
        <v>1000</v>
      </c>
      <c r="E48" s="27">
        <v>11.71</v>
      </c>
      <c r="F48" s="27">
        <v>11.95</v>
      </c>
      <c r="G48" s="27">
        <v>11.67</v>
      </c>
      <c r="H48" s="20">
        <f t="shared" si="10"/>
        <v>11.776666666666666</v>
      </c>
      <c r="I48" s="20">
        <f t="shared" si="11"/>
        <v>0.15143755588800673</v>
      </c>
      <c r="J48" s="25">
        <f t="shared" si="4"/>
        <v>0.59089702652572018</v>
      </c>
      <c r="K48" s="9">
        <v>550</v>
      </c>
      <c r="L48" s="20">
        <f t="shared" si="12"/>
        <v>3.2038544044879931</v>
      </c>
      <c r="M48" s="10">
        <f t="shared" si="13"/>
        <v>363000</v>
      </c>
      <c r="N48" s="20">
        <f t="shared" si="14"/>
        <v>1.1629991488291416</v>
      </c>
      <c r="O48" s="20">
        <f t="shared" si="5"/>
        <v>23.259982976582833</v>
      </c>
      <c r="P48" s="29">
        <v>4</v>
      </c>
      <c r="Q48" s="20">
        <f t="shared" si="6"/>
        <v>109.07659985698317</v>
      </c>
      <c r="R48" s="20">
        <f t="shared" si="7"/>
        <v>4.3630639942793268</v>
      </c>
      <c r="S48" s="20">
        <f t="shared" si="15"/>
        <v>12.019460039336989</v>
      </c>
      <c r="T48" s="30">
        <v>250</v>
      </c>
      <c r="U48" s="12">
        <f t="shared" si="16"/>
        <v>9.3039931906331336E-2</v>
      </c>
    </row>
    <row r="49" spans="15:15">
      <c r="O49" s="11"/>
    </row>
  </sheetData>
  <mergeCells count="3">
    <mergeCell ref="A6:P6"/>
    <mergeCell ref="A15:P15"/>
    <mergeCell ref="A16:P16"/>
  </mergeCells>
  <phoneticPr fontId="17" type="noConversion"/>
  <pageMargins left="0.7" right="0.7" top="0.75" bottom="0.75" header="0.3" footer="0.3"/>
  <pageSetup scale="48"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2A51B-D2A6-0F46-A08C-AF2650E3627B}">
  <dimension ref="A4:Z33"/>
  <sheetViews>
    <sheetView topLeftCell="A2" workbookViewId="0">
      <selection activeCell="C20" sqref="C20"/>
    </sheetView>
  </sheetViews>
  <sheetFormatPr baseColWidth="10" defaultColWidth="11" defaultRowHeight="16"/>
  <cols>
    <col min="1" max="1" width="14.33203125" customWidth="1"/>
    <col min="2" max="2" width="27.6640625" bestFit="1" customWidth="1"/>
    <col min="3" max="4" width="12.83203125" bestFit="1" customWidth="1"/>
    <col min="5" max="5" width="13.33203125" bestFit="1" customWidth="1"/>
    <col min="6" max="6" width="15.33203125" bestFit="1" customWidth="1"/>
    <col min="7" max="7" width="9" customWidth="1"/>
    <col min="8" max="8" width="11" bestFit="1" customWidth="1"/>
    <col min="9" max="9" width="11.6640625" bestFit="1" customWidth="1"/>
    <col min="10" max="10" width="13.6640625" bestFit="1" customWidth="1"/>
    <col min="11" max="11" width="20" bestFit="1" customWidth="1"/>
    <col min="12" max="12" width="22.1640625" bestFit="1" customWidth="1"/>
    <col min="14" max="14" width="12.83203125" bestFit="1" customWidth="1"/>
    <col min="15" max="15" width="17" bestFit="1" customWidth="1"/>
    <col min="16" max="16" width="19" bestFit="1" customWidth="1"/>
    <col min="17" max="17" width="15.6640625" customWidth="1"/>
    <col min="18" max="18" width="12.6640625" bestFit="1" customWidth="1"/>
    <col min="19" max="19" width="31.1640625" customWidth="1"/>
    <col min="20" max="20" width="30.5" customWidth="1"/>
    <col min="28" max="28" width="17.83203125" bestFit="1" customWidth="1"/>
  </cols>
  <sheetData>
    <row r="4" spans="1:11" s="15" customFormat="1" ht="19">
      <c r="A4" s="31" t="s">
        <v>92</v>
      </c>
      <c r="B4" s="85"/>
      <c r="C4" s="85"/>
      <c r="F4" s="86"/>
      <c r="G4" s="86"/>
      <c r="H4" s="86"/>
      <c r="I4" s="86"/>
      <c r="J4" s="86"/>
      <c r="K4" s="86"/>
    </row>
    <row r="5" spans="1:11" s="15" customFormat="1">
      <c r="A5" s="86" t="s">
        <v>107</v>
      </c>
    </row>
    <row r="7" spans="1:11">
      <c r="A7" s="42" t="s">
        <v>147</v>
      </c>
      <c r="B7" s="153" t="s">
        <v>150</v>
      </c>
      <c r="C7" s="154"/>
      <c r="D7" s="154"/>
      <c r="E7" s="154"/>
      <c r="F7" s="154"/>
    </row>
    <row r="8" spans="1:11">
      <c r="A8" s="42" t="s">
        <v>148</v>
      </c>
      <c r="B8" s="153" t="s">
        <v>149</v>
      </c>
      <c r="C8" s="154"/>
      <c r="D8" s="154"/>
      <c r="E8" s="154"/>
      <c r="F8" s="154"/>
    </row>
    <row r="9" spans="1:11">
      <c r="A9" s="40" t="s">
        <v>74</v>
      </c>
      <c r="B9" s="155" t="s">
        <v>75</v>
      </c>
      <c r="C9" s="156"/>
      <c r="D9" s="156"/>
      <c r="E9" s="156"/>
      <c r="F9" s="156"/>
    </row>
    <row r="10" spans="1:11">
      <c r="A10" s="22"/>
    </row>
    <row r="11" spans="1:11">
      <c r="A11" s="14" t="s">
        <v>53</v>
      </c>
    </row>
    <row r="12" spans="1:11" ht="17" customHeight="1">
      <c r="A12" s="141" t="s">
        <v>151</v>
      </c>
      <c r="B12" s="141"/>
      <c r="C12" s="141"/>
      <c r="D12" s="141"/>
      <c r="E12" s="141"/>
      <c r="F12" s="141"/>
      <c r="G12" s="141"/>
      <c r="H12" s="141"/>
      <c r="I12" s="141"/>
      <c r="J12" s="141"/>
      <c r="K12" s="141"/>
    </row>
    <row r="13" spans="1:11" s="15" customFormat="1" ht="32" customHeight="1">
      <c r="A13" s="141" t="s">
        <v>93</v>
      </c>
      <c r="B13" s="141"/>
      <c r="C13" s="141"/>
      <c r="D13" s="141"/>
      <c r="E13" s="141"/>
      <c r="F13" s="141"/>
      <c r="G13" s="141"/>
      <c r="H13" s="141"/>
      <c r="I13" s="141"/>
      <c r="J13" s="141"/>
      <c r="K13" s="141"/>
    </row>
    <row r="14" spans="1:11" s="15" customFormat="1">
      <c r="A14" s="157" t="s">
        <v>76</v>
      </c>
      <c r="B14" s="157"/>
      <c r="C14" s="157"/>
      <c r="D14" s="157"/>
      <c r="E14" s="157"/>
      <c r="F14" s="157"/>
      <c r="G14" s="157"/>
      <c r="H14" s="157"/>
      <c r="I14" s="157"/>
      <c r="J14" s="157"/>
      <c r="K14" s="157"/>
    </row>
    <row r="17" spans="1:26" ht="22" thickBot="1">
      <c r="A17" s="36"/>
    </row>
    <row r="18" spans="1:26" ht="22" thickBot="1">
      <c r="A18" s="147" t="s">
        <v>77</v>
      </c>
      <c r="B18" s="148"/>
      <c r="C18" s="149"/>
      <c r="D18" s="150" t="s">
        <v>78</v>
      </c>
      <c r="E18" s="151"/>
      <c r="F18" s="151"/>
      <c r="G18" s="151"/>
      <c r="H18" s="151"/>
      <c r="I18" s="151"/>
      <c r="J18" s="151"/>
      <c r="K18" s="151"/>
      <c r="L18" s="152"/>
      <c r="M18" s="144" t="s">
        <v>79</v>
      </c>
      <c r="N18" s="145"/>
      <c r="O18" s="145"/>
      <c r="P18" s="145"/>
      <c r="Q18" s="145"/>
      <c r="R18" s="145"/>
      <c r="S18" s="146"/>
      <c r="T18" s="83" t="s">
        <v>95</v>
      </c>
      <c r="Z18" s="48"/>
    </row>
    <row r="19" spans="1:26" ht="17" thickBot="1">
      <c r="A19" s="120" t="s">
        <v>103</v>
      </c>
      <c r="B19" s="121" t="s">
        <v>80</v>
      </c>
      <c r="C19" s="134" t="s">
        <v>94</v>
      </c>
      <c r="D19" s="113" t="s">
        <v>81</v>
      </c>
      <c r="E19" s="50" t="s">
        <v>82</v>
      </c>
      <c r="F19" s="50" t="s">
        <v>83</v>
      </c>
      <c r="G19" s="50" t="s">
        <v>84</v>
      </c>
      <c r="H19" s="50" t="s">
        <v>85</v>
      </c>
      <c r="I19" s="50" t="s">
        <v>86</v>
      </c>
      <c r="J19" s="50" t="s">
        <v>87</v>
      </c>
      <c r="K19" s="73" t="s">
        <v>88</v>
      </c>
      <c r="L19" s="76" t="s">
        <v>101</v>
      </c>
      <c r="M19" s="75" t="s">
        <v>89</v>
      </c>
      <c r="N19" s="51" t="s">
        <v>90</v>
      </c>
      <c r="O19" s="51" t="s">
        <v>97</v>
      </c>
      <c r="P19" s="51" t="s">
        <v>98</v>
      </c>
      <c r="Q19" s="51" t="s">
        <v>99</v>
      </c>
      <c r="R19" s="52" t="s">
        <v>100</v>
      </c>
      <c r="S19" s="51" t="s">
        <v>96</v>
      </c>
      <c r="T19" s="77" t="s">
        <v>102</v>
      </c>
      <c r="Z19" s="48"/>
    </row>
    <row r="20" spans="1:26">
      <c r="A20" s="122" t="str">
        <f>IF(I20&lt;=2,"PASS","ALERT")</f>
        <v>PASS</v>
      </c>
      <c r="B20" s="123" t="str">
        <f>IF(P20&gt;=25,"PASS","FAIL")</f>
        <v>FAIL</v>
      </c>
      <c r="C20" s="135" t="str">
        <f>IF(P20&gt;=25,IF(S20&gt;=1,"PASS","ALERT"), "FAIL")</f>
        <v>FAIL</v>
      </c>
      <c r="D20" s="126"/>
      <c r="E20" s="127"/>
      <c r="F20" s="127"/>
      <c r="G20" s="127"/>
      <c r="H20" s="127"/>
      <c r="I20" s="127"/>
      <c r="J20" s="127"/>
      <c r="K20" s="128"/>
      <c r="L20" s="129"/>
      <c r="M20" s="130"/>
      <c r="N20" s="127"/>
      <c r="O20" s="127"/>
      <c r="P20" s="127"/>
      <c r="Q20" s="127"/>
      <c r="R20" s="127"/>
      <c r="S20" s="131"/>
      <c r="T20" s="132"/>
      <c r="Z20" s="48"/>
    </row>
    <row r="21" spans="1:26">
      <c r="A21" s="117" t="str">
        <f t="shared" ref="A21:A27" si="0">IF(I21&lt;=2,"PASS","ALERT")</f>
        <v>PASS</v>
      </c>
      <c r="B21" s="116" t="str">
        <f t="shared" ref="B21:B27" si="1">IF(P21&gt;=25,"PASS","FAIL")</f>
        <v>FAIL</v>
      </c>
      <c r="C21" s="136" t="str">
        <f t="shared" ref="C21:C27" si="2">IF(P21&gt;=25,IF(S21&gt;=1,"PASS","ALERT"), "FAIL")</f>
        <v>FAIL</v>
      </c>
      <c r="D21" s="114"/>
      <c r="E21" s="2"/>
      <c r="F21" s="2"/>
      <c r="G21" s="2"/>
      <c r="H21" s="2"/>
      <c r="I21" s="2"/>
      <c r="J21" s="2"/>
      <c r="K21" s="55"/>
      <c r="L21" s="56"/>
      <c r="M21" s="71"/>
      <c r="N21" s="2"/>
      <c r="O21" s="2"/>
      <c r="P21" s="2"/>
      <c r="Q21" s="2"/>
      <c r="R21" s="2"/>
      <c r="S21" s="64"/>
      <c r="T21" s="79"/>
      <c r="Z21" s="48"/>
    </row>
    <row r="22" spans="1:26">
      <c r="A22" s="117" t="str">
        <f t="shared" si="0"/>
        <v>PASS</v>
      </c>
      <c r="B22" s="116" t="str">
        <f t="shared" si="1"/>
        <v>FAIL</v>
      </c>
      <c r="C22" s="136" t="str">
        <f t="shared" si="2"/>
        <v>FAIL</v>
      </c>
      <c r="D22" s="114"/>
      <c r="E22" s="2"/>
      <c r="F22" s="2"/>
      <c r="G22" s="96"/>
      <c r="H22" s="2"/>
      <c r="I22" s="96"/>
      <c r="J22" s="2"/>
      <c r="K22" s="97"/>
      <c r="L22" s="56"/>
      <c r="M22" s="71"/>
      <c r="N22" s="96"/>
      <c r="O22" s="2"/>
      <c r="P22" s="96"/>
      <c r="Q22" s="2"/>
      <c r="R22" s="96"/>
      <c r="S22" s="64"/>
      <c r="T22" s="79"/>
      <c r="Z22" s="48"/>
    </row>
    <row r="23" spans="1:26">
      <c r="A23" s="117" t="str">
        <f t="shared" si="0"/>
        <v>PASS</v>
      </c>
      <c r="B23" s="116" t="str">
        <f t="shared" si="1"/>
        <v>FAIL</v>
      </c>
      <c r="C23" s="136" t="str">
        <f t="shared" si="2"/>
        <v>FAIL</v>
      </c>
      <c r="D23" s="114"/>
      <c r="E23" s="2"/>
      <c r="F23" s="2"/>
      <c r="G23" s="2"/>
      <c r="H23" s="2"/>
      <c r="I23" s="2"/>
      <c r="J23" s="2"/>
      <c r="K23" s="55"/>
      <c r="L23" s="56"/>
      <c r="M23" s="71"/>
      <c r="N23" s="2"/>
      <c r="O23" s="2"/>
      <c r="P23" s="67"/>
      <c r="Q23" s="67"/>
      <c r="R23" s="67"/>
      <c r="S23" s="68"/>
      <c r="T23" s="79"/>
      <c r="Z23" s="48"/>
    </row>
    <row r="24" spans="1:26">
      <c r="A24" s="117" t="str">
        <f t="shared" si="0"/>
        <v>PASS</v>
      </c>
      <c r="B24" s="116" t="str">
        <f t="shared" si="1"/>
        <v>FAIL</v>
      </c>
      <c r="C24" s="136" t="str">
        <f t="shared" si="2"/>
        <v>FAIL</v>
      </c>
      <c r="D24" s="114"/>
      <c r="E24" s="2"/>
      <c r="F24" s="2"/>
      <c r="G24" s="2"/>
      <c r="H24" s="2"/>
      <c r="I24" s="2"/>
      <c r="J24" s="2"/>
      <c r="K24" s="55"/>
      <c r="L24" s="56"/>
      <c r="M24" s="71"/>
      <c r="N24" s="2"/>
      <c r="O24" s="2"/>
      <c r="P24" s="67"/>
      <c r="Q24" s="2"/>
      <c r="R24" s="2"/>
      <c r="S24" s="64"/>
      <c r="T24" s="79"/>
      <c r="Z24" s="48"/>
    </row>
    <row r="25" spans="1:26">
      <c r="A25" s="117" t="str">
        <f t="shared" si="0"/>
        <v>PASS</v>
      </c>
      <c r="B25" s="116" t="str">
        <f t="shared" si="1"/>
        <v>FAIL</v>
      </c>
      <c r="C25" s="136" t="str">
        <f t="shared" si="2"/>
        <v>FAIL</v>
      </c>
      <c r="D25" s="114"/>
      <c r="E25" s="2"/>
      <c r="F25" s="2"/>
      <c r="G25" s="2"/>
      <c r="H25" s="2"/>
      <c r="I25" s="2"/>
      <c r="J25" s="2"/>
      <c r="K25" s="55"/>
      <c r="L25" s="56"/>
      <c r="M25" s="71"/>
      <c r="N25" s="2"/>
      <c r="O25" s="2"/>
      <c r="P25" s="67"/>
      <c r="Q25" s="2"/>
      <c r="R25" s="96"/>
      <c r="S25" s="64"/>
      <c r="T25" s="79"/>
    </row>
    <row r="26" spans="1:26">
      <c r="A26" s="117" t="str">
        <f t="shared" si="0"/>
        <v>PASS</v>
      </c>
      <c r="B26" s="116" t="str">
        <f t="shared" si="1"/>
        <v>FAIL</v>
      </c>
      <c r="C26" s="136" t="str">
        <f t="shared" si="2"/>
        <v>FAIL</v>
      </c>
      <c r="D26" s="114"/>
      <c r="E26" s="2"/>
      <c r="F26" s="2"/>
      <c r="G26" s="2"/>
      <c r="H26" s="2"/>
      <c r="I26" s="2"/>
      <c r="J26" s="2"/>
      <c r="K26" s="55"/>
      <c r="L26" s="56"/>
      <c r="M26" s="71"/>
      <c r="N26" s="2"/>
      <c r="O26" s="2"/>
      <c r="P26" s="67"/>
      <c r="Q26" s="67"/>
      <c r="R26" s="67"/>
      <c r="S26" s="68"/>
      <c r="T26" s="79"/>
    </row>
    <row r="27" spans="1:26" ht="17" thickBot="1">
      <c r="A27" s="118" t="str">
        <f t="shared" si="0"/>
        <v>PASS</v>
      </c>
      <c r="B27" s="119" t="str">
        <f t="shared" si="1"/>
        <v>FAIL</v>
      </c>
      <c r="C27" s="137" t="str">
        <f t="shared" si="2"/>
        <v>FAIL</v>
      </c>
      <c r="D27" s="115"/>
      <c r="E27" s="59"/>
      <c r="F27" s="59"/>
      <c r="G27" s="59"/>
      <c r="H27" s="59"/>
      <c r="I27" s="59"/>
      <c r="J27" s="59"/>
      <c r="K27" s="60"/>
      <c r="L27" s="61"/>
      <c r="M27" s="72"/>
      <c r="N27" s="59"/>
      <c r="O27" s="59"/>
      <c r="P27" s="133"/>
      <c r="Q27" s="59"/>
      <c r="R27" s="59"/>
      <c r="S27" s="65"/>
      <c r="T27" s="80"/>
    </row>
    <row r="28" spans="1:26" s="1" customFormat="1">
      <c r="A28" s="62"/>
      <c r="C28" s="124"/>
      <c r="L28" s="38"/>
      <c r="R28" s="125"/>
    </row>
    <row r="29" spans="1:26">
      <c r="A29" s="62"/>
      <c r="E29" s="1"/>
      <c r="F29" s="1"/>
      <c r="G29" s="1"/>
      <c r="H29" s="1"/>
      <c r="I29" s="1"/>
      <c r="J29" s="1"/>
      <c r="K29" s="1"/>
      <c r="L29" s="1"/>
      <c r="M29" s="1"/>
      <c r="N29" s="1"/>
      <c r="O29" s="1"/>
      <c r="P29" s="1"/>
      <c r="Q29" s="1"/>
      <c r="R29" s="1"/>
    </row>
    <row r="30" spans="1:26">
      <c r="A30" s="62"/>
    </row>
    <row r="31" spans="1:26">
      <c r="A31" s="62"/>
    </row>
    <row r="32" spans="1:26">
      <c r="A32" s="62"/>
    </row>
    <row r="33" spans="1:1">
      <c r="A33" s="63"/>
    </row>
  </sheetData>
  <mergeCells count="9">
    <mergeCell ref="M18:S18"/>
    <mergeCell ref="A18:C18"/>
    <mergeCell ref="D18:L18"/>
    <mergeCell ref="B7:F7"/>
    <mergeCell ref="B8:F8"/>
    <mergeCell ref="B9:F9"/>
    <mergeCell ref="A12:K12"/>
    <mergeCell ref="A13:K13"/>
    <mergeCell ref="A14:K14"/>
  </mergeCells>
  <hyperlinks>
    <hyperlink ref="B8" r:id="rId1" xr:uid="{A3B5FF50-FF44-8E4C-B4FE-B2A006434CBA}"/>
    <hyperlink ref="B7" r:id="rId2" xr:uid="{6E91CA50-6DD4-434C-AC6B-7D24413CAD12}"/>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00BD-6715-0F4E-BEE6-696DD55FCE21}">
  <dimension ref="A4:Y33"/>
  <sheetViews>
    <sheetView workbookViewId="0">
      <selection activeCell="A20" sqref="A20"/>
    </sheetView>
  </sheetViews>
  <sheetFormatPr baseColWidth="10" defaultColWidth="11" defaultRowHeight="16"/>
  <cols>
    <col min="1" max="1" width="14.33203125" customWidth="1"/>
    <col min="2" max="2" width="27.6640625" bestFit="1" customWidth="1"/>
    <col min="3" max="4" width="12.83203125" bestFit="1" customWidth="1"/>
    <col min="5" max="5" width="13.33203125" bestFit="1" customWidth="1"/>
    <col min="6" max="6" width="15.33203125" bestFit="1" customWidth="1"/>
    <col min="7" max="7" width="9" customWidth="1"/>
    <col min="8" max="8" width="11" bestFit="1" customWidth="1"/>
    <col min="9" max="9" width="11.6640625" bestFit="1" customWidth="1"/>
    <col min="10" max="10" width="13.6640625" bestFit="1" customWidth="1"/>
    <col min="11" max="11" width="20" bestFit="1" customWidth="1"/>
    <col min="12" max="12" width="22.1640625" bestFit="1" customWidth="1"/>
    <col min="14" max="14" width="12.83203125" bestFit="1" customWidth="1"/>
    <col min="15" max="15" width="17" bestFit="1" customWidth="1"/>
    <col min="16" max="16" width="19" bestFit="1" customWidth="1"/>
    <col min="17" max="17" width="15.6640625" customWidth="1"/>
    <col min="18" max="18" width="12.6640625" bestFit="1" customWidth="1"/>
    <col min="19" max="19" width="31.1640625" customWidth="1"/>
    <col min="20" max="20" width="16.6640625" customWidth="1"/>
    <col min="28" max="28" width="17.83203125" bestFit="1" customWidth="1"/>
  </cols>
  <sheetData>
    <row r="4" spans="1:11" s="15" customFormat="1" ht="19">
      <c r="A4" s="31" t="s">
        <v>92</v>
      </c>
      <c r="B4" s="85"/>
      <c r="C4" s="85"/>
      <c r="F4" s="86"/>
      <c r="G4" s="86"/>
      <c r="H4" s="86"/>
      <c r="I4" s="86"/>
      <c r="J4" s="86"/>
      <c r="K4" s="86"/>
    </row>
    <row r="5" spans="1:11" s="15" customFormat="1">
      <c r="A5" s="86" t="s">
        <v>108</v>
      </c>
    </row>
    <row r="7" spans="1:11">
      <c r="A7" s="42" t="s">
        <v>147</v>
      </c>
      <c r="B7" s="153" t="s">
        <v>150</v>
      </c>
      <c r="C7" s="154"/>
      <c r="D7" s="154"/>
      <c r="E7" s="154"/>
      <c r="F7" s="154"/>
    </row>
    <row r="8" spans="1:11">
      <c r="A8" s="42" t="s">
        <v>148</v>
      </c>
      <c r="B8" s="153" t="s">
        <v>149</v>
      </c>
      <c r="C8" s="154"/>
      <c r="D8" s="154"/>
      <c r="E8" s="154"/>
      <c r="F8" s="154"/>
    </row>
    <row r="9" spans="1:11">
      <c r="A9" s="40" t="s">
        <v>74</v>
      </c>
      <c r="B9" s="155" t="s">
        <v>75</v>
      </c>
      <c r="C9" s="156"/>
      <c r="D9" s="156"/>
      <c r="E9" s="156"/>
      <c r="F9" s="156"/>
    </row>
    <row r="10" spans="1:11">
      <c r="A10" s="22"/>
    </row>
    <row r="11" spans="1:11">
      <c r="A11" s="14" t="s">
        <v>53</v>
      </c>
    </row>
    <row r="12" spans="1:11">
      <c r="A12" s="158" t="s">
        <v>152</v>
      </c>
      <c r="B12" s="158"/>
      <c r="C12" s="158"/>
      <c r="D12" s="158"/>
      <c r="E12" s="158"/>
      <c r="F12" s="158"/>
      <c r="G12" s="158"/>
      <c r="H12" s="158"/>
      <c r="I12" s="158"/>
      <c r="J12" s="158"/>
      <c r="K12" s="158"/>
    </row>
    <row r="13" spans="1:11" s="15" customFormat="1" ht="32" customHeight="1">
      <c r="A13" s="141" t="s">
        <v>104</v>
      </c>
      <c r="B13" s="141"/>
      <c r="C13" s="141"/>
      <c r="D13" s="141"/>
      <c r="E13" s="141"/>
      <c r="F13" s="141"/>
      <c r="G13" s="141"/>
      <c r="H13" s="141"/>
      <c r="I13" s="141"/>
      <c r="J13" s="141"/>
      <c r="K13" s="141"/>
    </row>
    <row r="14" spans="1:11" s="15" customFormat="1">
      <c r="A14" s="157" t="s">
        <v>91</v>
      </c>
      <c r="B14" s="157"/>
      <c r="C14" s="157"/>
      <c r="D14" s="157"/>
      <c r="E14" s="157"/>
      <c r="F14" s="157"/>
      <c r="G14" s="157"/>
      <c r="H14" s="157"/>
      <c r="I14" s="157"/>
      <c r="J14" s="157"/>
      <c r="K14" s="157"/>
    </row>
    <row r="17" spans="1:25" ht="22" thickBot="1">
      <c r="A17" s="36"/>
    </row>
    <row r="18" spans="1:25" ht="22" thickBot="1">
      <c r="A18" s="81" t="s">
        <v>77</v>
      </c>
      <c r="B18" s="82"/>
      <c r="C18" s="150" t="s">
        <v>78</v>
      </c>
      <c r="D18" s="151"/>
      <c r="E18" s="151"/>
      <c r="F18" s="151"/>
      <c r="G18" s="151"/>
      <c r="H18" s="151"/>
      <c r="I18" s="151"/>
      <c r="J18" s="151"/>
      <c r="K18" s="152"/>
      <c r="L18" s="144" t="s">
        <v>79</v>
      </c>
      <c r="M18" s="145"/>
      <c r="N18" s="145"/>
      <c r="O18" s="145"/>
      <c r="P18" s="145"/>
      <c r="Q18" s="145"/>
      <c r="R18" s="146"/>
      <c r="S18" s="83" t="s">
        <v>95</v>
      </c>
      <c r="Y18" s="48"/>
    </row>
    <row r="19" spans="1:25" ht="17" thickBot="1">
      <c r="A19" s="49" t="s">
        <v>80</v>
      </c>
      <c r="B19" s="49" t="s">
        <v>94</v>
      </c>
      <c r="C19" s="50" t="s">
        <v>81</v>
      </c>
      <c r="D19" s="50" t="s">
        <v>82</v>
      </c>
      <c r="E19" s="50" t="s">
        <v>83</v>
      </c>
      <c r="F19" s="50" t="s">
        <v>84</v>
      </c>
      <c r="G19" s="50" t="s">
        <v>85</v>
      </c>
      <c r="H19" s="50" t="s">
        <v>86</v>
      </c>
      <c r="I19" s="50" t="s">
        <v>87</v>
      </c>
      <c r="J19" s="73" t="s">
        <v>88</v>
      </c>
      <c r="K19" s="76" t="s">
        <v>101</v>
      </c>
      <c r="L19" s="75" t="s">
        <v>89</v>
      </c>
      <c r="M19" s="51" t="s">
        <v>90</v>
      </c>
      <c r="N19" s="51" t="s">
        <v>97</v>
      </c>
      <c r="O19" s="51" t="s">
        <v>98</v>
      </c>
      <c r="P19" s="51" t="s">
        <v>99</v>
      </c>
      <c r="Q19" s="52" t="s">
        <v>100</v>
      </c>
      <c r="R19" s="51" t="s">
        <v>96</v>
      </c>
      <c r="S19" s="77" t="s">
        <v>105</v>
      </c>
      <c r="Y19" s="48"/>
    </row>
    <row r="20" spans="1:25">
      <c r="A20" s="53" t="str">
        <f>IF(O20&gt;=25,"PASS","ALERT")</f>
        <v>ALERT</v>
      </c>
      <c r="B20" s="135" t="str">
        <f>IF(O20&gt;=25,IF(R20&gt;=1,"PASS","ALERT"), "FAIL")</f>
        <v>FAIL</v>
      </c>
      <c r="C20" s="66"/>
      <c r="D20" s="67"/>
      <c r="E20" s="67"/>
      <c r="F20" s="67"/>
      <c r="G20" s="67"/>
      <c r="H20" s="67"/>
      <c r="I20" s="67"/>
      <c r="J20" s="74"/>
      <c r="K20" s="69"/>
      <c r="L20" s="70"/>
      <c r="M20" s="67"/>
      <c r="N20" s="67"/>
      <c r="O20" s="67"/>
      <c r="P20" s="67"/>
      <c r="Q20" s="67"/>
      <c r="R20" s="68"/>
      <c r="S20" s="78"/>
      <c r="Y20" s="48"/>
    </row>
    <row r="21" spans="1:25">
      <c r="A21" s="53" t="str">
        <f t="shared" ref="A21:A27" si="0">IF(O21&gt;=25,"PASS","ALERT")</f>
        <v>ALERT</v>
      </c>
      <c r="B21" s="138" t="str">
        <f t="shared" ref="B21:B27" si="1">IF(O21&gt;=25,IF(R21&gt;=1,"PASS","ALERT"), "FAIL")</f>
        <v>FAIL</v>
      </c>
      <c r="C21" s="54"/>
      <c r="D21" s="2"/>
      <c r="E21" s="2"/>
      <c r="F21" s="2"/>
      <c r="G21" s="2"/>
      <c r="H21" s="2"/>
      <c r="I21" s="2"/>
      <c r="J21" s="55"/>
      <c r="K21" s="56"/>
      <c r="L21" s="71"/>
      <c r="M21" s="2"/>
      <c r="N21" s="2"/>
      <c r="O21" s="2"/>
      <c r="P21" s="2"/>
      <c r="Q21" s="2"/>
      <c r="R21" s="64"/>
      <c r="S21" s="79"/>
      <c r="Y21" s="48"/>
    </row>
    <row r="22" spans="1:25">
      <c r="A22" s="53" t="str">
        <f t="shared" si="0"/>
        <v>ALERT</v>
      </c>
      <c r="B22" s="138" t="str">
        <f t="shared" si="1"/>
        <v>FAIL</v>
      </c>
      <c r="C22" s="54"/>
      <c r="D22" s="2"/>
      <c r="E22" s="2"/>
      <c r="F22" s="2"/>
      <c r="G22" s="2"/>
      <c r="H22" s="2"/>
      <c r="I22" s="2"/>
      <c r="J22" s="55"/>
      <c r="K22" s="56"/>
      <c r="L22" s="71"/>
      <c r="M22" s="2"/>
      <c r="N22" s="2"/>
      <c r="O22" s="2"/>
      <c r="P22" s="2"/>
      <c r="Q22" s="2"/>
      <c r="R22" s="64"/>
      <c r="S22" s="79"/>
      <c r="Y22" s="48"/>
    </row>
    <row r="23" spans="1:25">
      <c r="A23" s="53" t="str">
        <f t="shared" si="0"/>
        <v>ALERT</v>
      </c>
      <c r="B23" s="138" t="str">
        <f t="shared" si="1"/>
        <v>FAIL</v>
      </c>
      <c r="C23" s="54"/>
      <c r="D23" s="2"/>
      <c r="E23" s="2"/>
      <c r="F23" s="2"/>
      <c r="G23" s="2"/>
      <c r="H23" s="2"/>
      <c r="I23" s="2"/>
      <c r="J23" s="55"/>
      <c r="K23" s="56"/>
      <c r="L23" s="71"/>
      <c r="M23" s="2"/>
      <c r="N23" s="2"/>
      <c r="O23" s="2"/>
      <c r="P23" s="2"/>
      <c r="Q23" s="2"/>
      <c r="R23" s="64"/>
      <c r="S23" s="79"/>
      <c r="Y23" s="48"/>
    </row>
    <row r="24" spans="1:25">
      <c r="A24" s="53" t="str">
        <f t="shared" si="0"/>
        <v>ALERT</v>
      </c>
      <c r="B24" s="138" t="str">
        <f t="shared" si="1"/>
        <v>FAIL</v>
      </c>
      <c r="C24" s="54"/>
      <c r="D24" s="2"/>
      <c r="E24" s="2"/>
      <c r="F24" s="2"/>
      <c r="G24" s="2"/>
      <c r="H24" s="2"/>
      <c r="I24" s="2"/>
      <c r="J24" s="55"/>
      <c r="K24" s="56"/>
      <c r="L24" s="71"/>
      <c r="M24" s="2"/>
      <c r="N24" s="2"/>
      <c r="O24" s="2"/>
      <c r="P24" s="2"/>
      <c r="Q24" s="2"/>
      <c r="R24" s="64"/>
      <c r="S24" s="79"/>
      <c r="Y24" s="48"/>
    </row>
    <row r="25" spans="1:25">
      <c r="A25" s="53" t="str">
        <f t="shared" si="0"/>
        <v>ALERT</v>
      </c>
      <c r="B25" s="138" t="str">
        <f t="shared" si="1"/>
        <v>FAIL</v>
      </c>
      <c r="C25" s="54"/>
      <c r="D25" s="2"/>
      <c r="E25" s="2"/>
      <c r="F25" s="2"/>
      <c r="G25" s="2"/>
      <c r="H25" s="2"/>
      <c r="I25" s="2"/>
      <c r="J25" s="55"/>
      <c r="K25" s="56"/>
      <c r="L25" s="71"/>
      <c r="M25" s="2"/>
      <c r="N25" s="2"/>
      <c r="O25" s="2"/>
      <c r="P25" s="2"/>
      <c r="Q25" s="2"/>
      <c r="R25" s="64"/>
      <c r="S25" s="79"/>
    </row>
    <row r="26" spans="1:25">
      <c r="A26" s="53" t="str">
        <f t="shared" si="0"/>
        <v>ALERT</v>
      </c>
      <c r="B26" s="138" t="str">
        <f t="shared" si="1"/>
        <v>FAIL</v>
      </c>
      <c r="C26" s="54"/>
      <c r="D26" s="2"/>
      <c r="E26" s="2"/>
      <c r="F26" s="2"/>
      <c r="G26" s="2"/>
      <c r="H26" s="2"/>
      <c r="I26" s="2"/>
      <c r="J26" s="55"/>
      <c r="K26" s="56"/>
      <c r="L26" s="71"/>
      <c r="M26" s="2"/>
      <c r="N26" s="2"/>
      <c r="O26" s="2"/>
      <c r="P26" s="2"/>
      <c r="Q26" s="2"/>
      <c r="R26" s="64"/>
      <c r="S26" s="79"/>
    </row>
    <row r="27" spans="1:25" ht="17" thickBot="1">
      <c r="A27" s="57" t="str">
        <f t="shared" si="0"/>
        <v>ALERT</v>
      </c>
      <c r="B27" s="139" t="str">
        <f t="shared" si="1"/>
        <v>FAIL</v>
      </c>
      <c r="C27" s="58"/>
      <c r="D27" s="59"/>
      <c r="E27" s="59"/>
      <c r="F27" s="59"/>
      <c r="G27" s="59"/>
      <c r="H27" s="59"/>
      <c r="I27" s="59"/>
      <c r="J27" s="60"/>
      <c r="K27" s="61"/>
      <c r="L27" s="72"/>
      <c r="M27" s="59"/>
      <c r="N27" s="59"/>
      <c r="O27" s="59"/>
      <c r="P27" s="59"/>
      <c r="Q27" s="59"/>
      <c r="R27" s="65"/>
      <c r="S27" s="80"/>
    </row>
    <row r="28" spans="1:25">
      <c r="A28" s="62"/>
      <c r="E28" s="1"/>
      <c r="F28" s="1"/>
      <c r="G28" s="1"/>
      <c r="H28" s="1"/>
      <c r="I28" s="1"/>
      <c r="J28" s="1"/>
      <c r="K28" s="1"/>
      <c r="L28" s="1"/>
      <c r="M28" s="1"/>
      <c r="N28" s="1"/>
      <c r="O28" s="1"/>
      <c r="P28" s="1"/>
      <c r="Q28" s="1"/>
      <c r="R28" s="1"/>
    </row>
    <row r="29" spans="1:25">
      <c r="A29" s="62"/>
      <c r="E29" s="1"/>
      <c r="F29" s="1"/>
      <c r="G29" s="1"/>
      <c r="H29" s="1"/>
      <c r="I29" s="1"/>
      <c r="J29" s="1"/>
      <c r="K29" s="1"/>
      <c r="L29" s="1"/>
      <c r="M29" s="1"/>
      <c r="N29" s="1"/>
      <c r="O29" s="1"/>
      <c r="P29" s="1"/>
      <c r="Q29" s="1"/>
      <c r="R29" s="1"/>
    </row>
    <row r="30" spans="1:25">
      <c r="A30" s="62"/>
    </row>
    <row r="31" spans="1:25">
      <c r="A31" s="62"/>
    </row>
    <row r="32" spans="1:25">
      <c r="A32" s="62"/>
    </row>
    <row r="33" spans="1:1">
      <c r="A33" s="63"/>
    </row>
  </sheetData>
  <mergeCells count="8">
    <mergeCell ref="C18:K18"/>
    <mergeCell ref="L18:R18"/>
    <mergeCell ref="B7:F7"/>
    <mergeCell ref="B8:F8"/>
    <mergeCell ref="B9:F9"/>
    <mergeCell ref="A12:K12"/>
    <mergeCell ref="A13:K13"/>
    <mergeCell ref="A14:K14"/>
  </mergeCells>
  <hyperlinks>
    <hyperlink ref="B8" r:id="rId1" xr:uid="{0367A4EC-3424-1344-807D-6FD867F3B839}"/>
    <hyperlink ref="B7" r:id="rId2" xr:uid="{C976D1C9-E5CF-0045-B973-F216197997D5}"/>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6F3C-9B85-264F-AAA2-D17C06736DD2}">
  <dimension ref="A1:AF31"/>
  <sheetViews>
    <sheetView workbookViewId="0">
      <selection activeCell="A17" sqref="A17:A18"/>
    </sheetView>
  </sheetViews>
  <sheetFormatPr baseColWidth="10" defaultRowHeight="16"/>
  <cols>
    <col min="1" max="1" width="29.33203125" customWidth="1"/>
    <col min="2" max="2" width="116" style="93" customWidth="1"/>
    <col min="3" max="3" width="34.83203125" customWidth="1"/>
  </cols>
  <sheetData>
    <row r="1" spans="1:32" s="21" customFormat="1" ht="22">
      <c r="A1" s="87" t="s">
        <v>110</v>
      </c>
      <c r="B1" s="88" t="s">
        <v>111</v>
      </c>
      <c r="C1" s="88" t="s">
        <v>113</v>
      </c>
    </row>
    <row r="2" spans="1:32" s="94" customFormat="1" ht="17">
      <c r="A2" s="104" t="s">
        <v>82</v>
      </c>
      <c r="B2" s="92" t="s">
        <v>112</v>
      </c>
      <c r="C2" s="89" t="s">
        <v>138</v>
      </c>
    </row>
    <row r="3" spans="1:32" s="91" customFormat="1" ht="17">
      <c r="A3" s="105" t="s">
        <v>114</v>
      </c>
      <c r="B3" s="95" t="s">
        <v>115</v>
      </c>
      <c r="C3" s="90" t="s">
        <v>124</v>
      </c>
    </row>
    <row r="4" spans="1:32" s="94" customFormat="1" ht="17">
      <c r="A4" s="104" t="s">
        <v>84</v>
      </c>
      <c r="B4" s="92" t="s">
        <v>116</v>
      </c>
      <c r="C4" s="89" t="s">
        <v>136</v>
      </c>
    </row>
    <row r="5" spans="1:32" s="94" customFormat="1" ht="17">
      <c r="A5" s="104" t="s">
        <v>85</v>
      </c>
      <c r="B5" s="92" t="s">
        <v>117</v>
      </c>
      <c r="C5" s="89" t="s">
        <v>124</v>
      </c>
    </row>
    <row r="6" spans="1:32" s="91" customFormat="1" ht="17">
      <c r="A6" s="105" t="s">
        <v>86</v>
      </c>
      <c r="B6" s="95" t="s">
        <v>137</v>
      </c>
      <c r="C6" s="89" t="s">
        <v>156</v>
      </c>
    </row>
    <row r="7" spans="1:32" s="91" customFormat="1" ht="34">
      <c r="A7" s="105" t="s">
        <v>121</v>
      </c>
      <c r="B7" s="95" t="s">
        <v>118</v>
      </c>
      <c r="C7" s="89" t="s">
        <v>124</v>
      </c>
    </row>
    <row r="8" spans="1:32" s="91" customFormat="1" ht="17">
      <c r="A8" s="105" t="s">
        <v>122</v>
      </c>
      <c r="B8" s="95" t="s">
        <v>119</v>
      </c>
      <c r="C8" s="89" t="s">
        <v>139</v>
      </c>
    </row>
    <row r="9" spans="1:32" s="94" customFormat="1" ht="17">
      <c r="A9" s="105" t="s">
        <v>101</v>
      </c>
      <c r="B9" s="92" t="s">
        <v>132</v>
      </c>
      <c r="C9" s="89" t="s">
        <v>133</v>
      </c>
    </row>
    <row r="10" spans="1:32" s="94" customFormat="1" ht="17">
      <c r="A10" s="102" t="s">
        <v>89</v>
      </c>
      <c r="B10" s="92" t="s">
        <v>131</v>
      </c>
      <c r="C10" s="90" t="s">
        <v>124</v>
      </c>
    </row>
    <row r="11" spans="1:32" s="94" customFormat="1" ht="17">
      <c r="A11" s="102" t="s">
        <v>90</v>
      </c>
      <c r="B11" s="92" t="s">
        <v>130</v>
      </c>
      <c r="C11" s="89" t="s">
        <v>136</v>
      </c>
    </row>
    <row r="12" spans="1:32" s="94" customFormat="1" ht="17">
      <c r="A12" s="102" t="s">
        <v>97</v>
      </c>
      <c r="B12" s="92" t="s">
        <v>129</v>
      </c>
      <c r="C12" s="89" t="s">
        <v>124</v>
      </c>
    </row>
    <row r="13" spans="1:32" s="94" customFormat="1" ht="17">
      <c r="A13" s="102" t="s">
        <v>98</v>
      </c>
      <c r="B13" s="95" t="s">
        <v>128</v>
      </c>
      <c r="C13" s="89" t="s">
        <v>135</v>
      </c>
    </row>
    <row r="14" spans="1:32" s="94" customFormat="1" ht="17">
      <c r="A14" s="102" t="s">
        <v>99</v>
      </c>
      <c r="B14" s="95" t="s">
        <v>127</v>
      </c>
      <c r="C14" s="89" t="s">
        <v>124</v>
      </c>
    </row>
    <row r="15" spans="1:32" s="94" customFormat="1" ht="17">
      <c r="A15" s="102" t="s">
        <v>100</v>
      </c>
      <c r="B15" s="92" t="s">
        <v>126</v>
      </c>
      <c r="C15" s="89" t="s">
        <v>134</v>
      </c>
    </row>
    <row r="16" spans="1:32" s="94" customFormat="1" ht="17">
      <c r="A16" s="140" t="s">
        <v>96</v>
      </c>
      <c r="B16" s="92" t="s">
        <v>154</v>
      </c>
      <c r="C16" s="89" t="s">
        <v>125</v>
      </c>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row>
    <row r="17" spans="1:3" s="94" customFormat="1" ht="51">
      <c r="A17" s="103" t="s">
        <v>102</v>
      </c>
      <c r="B17" s="92" t="s">
        <v>153</v>
      </c>
      <c r="C17" s="89" t="s">
        <v>123</v>
      </c>
    </row>
    <row r="18" spans="1:3" s="94" customFormat="1" ht="17">
      <c r="A18" s="103" t="s">
        <v>105</v>
      </c>
      <c r="B18" s="92" t="s">
        <v>155</v>
      </c>
      <c r="C18" s="89" t="s">
        <v>124</v>
      </c>
    </row>
    <row r="19" spans="1:3" s="94" customFormat="1">
      <c r="A19" s="91"/>
      <c r="B19" s="92"/>
      <c r="C19" s="89"/>
    </row>
    <row r="20" spans="1:3">
      <c r="C20" s="89"/>
    </row>
    <row r="21" spans="1:3">
      <c r="C21" s="89"/>
    </row>
    <row r="22" spans="1:3">
      <c r="C22" s="89"/>
    </row>
    <row r="23" spans="1:3">
      <c r="C23" s="89"/>
    </row>
    <row r="24" spans="1:3">
      <c r="C24" s="89"/>
    </row>
    <row r="25" spans="1:3">
      <c r="C25" s="89"/>
    </row>
    <row r="26" spans="1:3">
      <c r="C26" s="89"/>
    </row>
    <row r="27" spans="1:3">
      <c r="C27" s="90"/>
    </row>
    <row r="28" spans="1:3">
      <c r="C28" s="89"/>
    </row>
    <row r="29" spans="1:3">
      <c r="C29" s="89"/>
    </row>
    <row r="30" spans="1:3">
      <c r="C30" s="89"/>
    </row>
    <row r="31" spans="1:3">
      <c r="C31" s="89"/>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Arima-QC1</vt:lpstr>
      <vt:lpstr>Arima-QC2</vt:lpstr>
      <vt:lpstr>Shallow Seq QC</vt:lpstr>
      <vt:lpstr>Deep Seq QC</vt:lpstr>
      <vt:lpstr>Metric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Allyson Whittaker</cp:lastModifiedBy>
  <dcterms:created xsi:type="dcterms:W3CDTF">2017-09-27T22:03:21Z</dcterms:created>
  <dcterms:modified xsi:type="dcterms:W3CDTF">2022-07-10T23:55:06Z</dcterms:modified>
</cp:coreProperties>
</file>